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539.xml" ContentType="application/vnd.openxmlformats-officedocument.drawingml.chart+xml"/>
  <Override PartName="/xl/charts/chart2535.xml" ContentType="application/vnd.openxmlformats-officedocument.drawingml.chart+xml"/>
  <Override PartName="/xl/charts/chart2533.xml" ContentType="application/vnd.openxmlformats-officedocument.drawingml.chart+xml"/>
  <Override PartName="/xl/charts/chart2537.xml" ContentType="application/vnd.openxmlformats-officedocument.drawingml.chart+xml"/>
  <Override PartName="/xl/charts/chart2531.xml" ContentType="application/vnd.openxmlformats-officedocument.drawingml.chart+xml"/>
  <Override PartName="/xl/charts/chart2530.xml" ContentType="application/vnd.openxmlformats-officedocument.drawingml.chart+xml"/>
  <Override PartName="/xl/charts/chart2532.xml" ContentType="application/vnd.openxmlformats-officedocument.drawingml.chart+xml"/>
  <Override PartName="/xl/charts/chart2538.xml" ContentType="application/vnd.openxmlformats-officedocument.drawingml.chart+xml"/>
  <Override PartName="/xl/charts/chart2528.xml" ContentType="application/vnd.openxmlformats-officedocument.drawingml.chart+xml"/>
  <Override PartName="/xl/charts/chart2534.xml" ContentType="application/vnd.openxmlformats-officedocument.drawingml.chart+xml"/>
  <Override PartName="/xl/charts/chart2527.xml" ContentType="application/vnd.openxmlformats-officedocument.drawingml.chart+xml"/>
  <Override PartName="/xl/charts/chart2526.xml" ContentType="application/vnd.openxmlformats-officedocument.drawingml.chart+xml"/>
  <Override PartName="/xl/charts/chart2536.xml" ContentType="application/vnd.openxmlformats-officedocument.drawingml.chart+xml"/>
  <Override PartName="/xl/charts/chart2524.xml" ContentType="application/vnd.openxmlformats-officedocument.drawingml.chart+xml"/>
  <Override PartName="/xl/charts/chart2523.xml" ContentType="application/vnd.openxmlformats-officedocument.drawingml.chart+xml"/>
  <Override PartName="/xl/charts/chart2529.xml" ContentType="application/vnd.openxmlformats-officedocument.drawingml.chart+xml"/>
  <Override PartName="/xl/charts/chart2525.xml" ContentType="application/vnd.openxmlformats-officedocument.drawingml.chart+xml"/>
  <Override PartName="/xl/charts/chart2522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2" firstSheet="0" activeTab="4"/>
  </bookViews>
  <sheets>
    <sheet name="Problem_Setup" sheetId="1" state="visible" r:id="rId2"/>
    <sheet name="SS Rod Radial Profile_5" sheetId="2" state="visible" r:id="rId3"/>
    <sheet name="SS Rod Radial Profile_10" sheetId="3" state="visible" r:id="rId4"/>
    <sheet name="SS Rod Radial Profile_20" sheetId="4" state="visible" r:id="rId5"/>
    <sheet name="Fuel_Centerline_Temperature" sheetId="5" state="visible" r:id="rId6"/>
    <sheet name="Sheet6" sheetId="6" state="visible" r:id="rId7"/>
    <sheet name="Sheet8" sheetId="7" state="visible" r:id="rId8"/>
  </sheets>
  <definedNames>
    <definedName function="false" hidden="false" name="A_surf" vbProcedure="false">Problem_Setup!$D$13</definedName>
    <definedName function="false" hidden="false" name="cp_in" vbProcedure="false">Problem_Setup!$D$34</definedName>
    <definedName function="false" hidden="false" name="delta_clad" vbProcedure="false">Problem_Setup!$H$34</definedName>
    <definedName function="false" hidden="false" name="delta_fluid" vbProcedure="false">Problem_Setup!$H$35</definedName>
    <definedName function="false" hidden="false" name="delta_gap" vbProcedure="false">Problem_Setup!$H$33</definedName>
    <definedName function="false" hidden="false" name="dT_clad" vbProcedure="false">Problem_Setup!$H$34</definedName>
    <definedName function="false" hidden="false" name="dT_gap" vbProcedure="false">Problem_Setup!$H$34</definedName>
    <definedName function="false" hidden="false" name="dz" vbProcedure="false">Problem_Setup!$D$7</definedName>
    <definedName function="false" hidden="false" name="heat_gen" vbProcedure="false">Problem_Setup!$D$26</definedName>
    <definedName function="false" hidden="false" name="hgap" vbProcedure="false">Problem_Setup!$H$10</definedName>
    <definedName function="false" hidden="false" name="htc" vbProcedure="false">Problem_Setup!$H$23</definedName>
    <definedName function="false" hidden="false" name="k_clad" vbProcedure="false">Problem_Setup!$H$5</definedName>
    <definedName function="false" hidden="false" name="k_fuel" vbProcedure="false">Problem_Setup!$H$4</definedName>
    <definedName function="false" hidden="false" name="L_chan" vbProcedure="false">Problem_Setup!$D$6</definedName>
    <definedName function="false" hidden="false" name="M_dot" vbProcedure="false">Problem_Setup!$D$30</definedName>
    <definedName function="false" hidden="false" name="Naxial" vbProcedure="false">Problem_Setup!$D$5</definedName>
    <definedName function="false" hidden="false" name="q_dot" vbProcedure="false">Problem_Setup!$D$25</definedName>
    <definedName function="false" hidden="false" name="q_lin" vbProcedure="false">Problem_Setup!$D$23</definedName>
    <definedName function="false" hidden="false" name="Rho_fuel" vbProcedure="false">Problem_Setup!$H$6</definedName>
    <definedName function="false" hidden="false" name="R_fuel" vbProcedure="false">Problem_Setup!$D$9</definedName>
    <definedName function="false" hidden="false" name="R_rod" vbProcedure="false">Problem_Setup!$D$8</definedName>
    <definedName function="false" hidden="false" name="t_btu_kw" vbProcedure="false">Problem_Setup!$N$5</definedName>
    <definedName function="false" hidden="false" name="t_ft_m" vbProcedure="false">Problem_Setup!$N$6</definedName>
    <definedName function="false" hidden="false" name="t_gap" vbProcedure="false">Problem_Setup!$H$34</definedName>
    <definedName function="false" hidden="false" name="t_htc" vbProcedure="false">Problem_Setup!$N$8</definedName>
    <definedName function="false" hidden="false" name="t_in" vbProcedure="false">Problem_Setup!$D$32</definedName>
    <definedName function="false" hidden="false" name="t_lbm_kg" vbProcedure="false">Problem_Setup!$N$9</definedName>
    <definedName function="false" hidden="false" name="t_R_K" vbProcedure="false">Problem_Setup!$N$7</definedName>
    <definedName function="false" hidden="false" name="vol_fuel" vbProcedure="false">Problem_Setup!$D$17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<sst xmlns="http://schemas.openxmlformats.org/spreadsheetml/2006/main" count="330" uniqueCount="154">
  <si>
    <t>x</t>
  </si>
  <si>
    <t>X/1</t>
  </si>
  <si>
    <t>Geometry</t>
  </si>
  <si>
    <t>Solid  Properties</t>
  </si>
  <si>
    <t>Unit Conversions</t>
  </si>
  <si>
    <t>Nradial</t>
  </si>
  <si>
    <t>k_fuel</t>
  </si>
  <si>
    <t>W/m-k</t>
  </si>
  <si>
    <t>FROM</t>
  </si>
  <si>
    <t>TO</t>
  </si>
  <si>
    <t>TO/FROM</t>
  </si>
  <si>
    <t>Naxial</t>
  </si>
  <si>
    <t>k_clad</t>
  </si>
  <si>
    <t>BTU/sec</t>
  </si>
  <si>
    <t>KW</t>
  </si>
  <si>
    <t>L_chan</t>
  </si>
  <si>
    <t>m</t>
  </si>
  <si>
    <t>rho_fuel</t>
  </si>
  <si>
    <t>kg/m^3</t>
  </si>
  <si>
    <t>ft</t>
  </si>
  <si>
    <t>dz</t>
  </si>
  <si>
    <t>rho_clad</t>
  </si>
  <si>
    <t>R</t>
  </si>
  <si>
    <t>K</t>
  </si>
  <si>
    <t>r_rod</t>
  </si>
  <si>
    <t>cm</t>
  </si>
  <si>
    <t>cp_fuel</t>
  </si>
  <si>
    <t>kJ/kg-K</t>
  </si>
  <si>
    <t>BTU/hr-ft^2-F</t>
  </si>
  <si>
    <t>W/m^2-K</t>
  </si>
  <si>
    <t>r_fuel</t>
  </si>
  <si>
    <t>cp_clad</t>
  </si>
  <si>
    <t>lbm</t>
  </si>
  <si>
    <t>kg</t>
  </si>
  <si>
    <t>t_clad</t>
  </si>
  <si>
    <t>hgap</t>
  </si>
  <si>
    <t>t_gap</t>
  </si>
  <si>
    <t>pitch</t>
  </si>
  <si>
    <t>A_surf</t>
  </si>
  <si>
    <t>m^2</t>
  </si>
  <si>
    <t>A_mom</t>
  </si>
  <si>
    <t>wett. Perimeter</t>
  </si>
  <si>
    <t>Dittus-Boetler</t>
  </si>
  <si>
    <t>hyd. Diameter</t>
  </si>
  <si>
    <t>kl</t>
  </si>
  <si>
    <t>btu/hr-ft-F</t>
  </si>
  <si>
    <t>volume fuel</t>
  </si>
  <si>
    <t>m^3</t>
  </si>
  <si>
    <t>De</t>
  </si>
  <si>
    <t>Ft^2</t>
  </si>
  <si>
    <t>mass fuel</t>
  </si>
  <si>
    <t>L/D</t>
  </si>
  <si>
    <t>L/D&gt;10</t>
  </si>
  <si>
    <t>Nu</t>
  </si>
  <si>
    <t>Re</t>
  </si>
  <si>
    <t>Re&gt;10000</t>
  </si>
  <si>
    <t>Pr</t>
  </si>
  <si>
    <t>0.6&gt;Pr&gt;6.1</t>
  </si>
  <si>
    <t>Rod Power</t>
  </si>
  <si>
    <t>htc</t>
  </si>
  <si>
    <t>btu/sec-ft^2-F</t>
  </si>
  <si>
    <t>BTU/sec/ft</t>
  </si>
  <si>
    <t>q'</t>
  </si>
  <si>
    <t>kW/m</t>
  </si>
  <si>
    <t>q</t>
  </si>
  <si>
    <t>kW</t>
  </si>
  <si>
    <t>Tw-Tf</t>
  </si>
  <si>
    <t>BTU/sec/ft^3</t>
  </si>
  <si>
    <t>q_dot</t>
  </si>
  <si>
    <t>kW/m^3</t>
  </si>
  <si>
    <t>BTU/sec/m^2</t>
  </si>
  <si>
    <t>q''</t>
  </si>
  <si>
    <t>kW/m^2</t>
  </si>
  <si>
    <t>BTU/sec/level</t>
  </si>
  <si>
    <t>Thermal Resistances</t>
  </si>
  <si>
    <t>R_gap</t>
  </si>
  <si>
    <t>K/W</t>
  </si>
  <si>
    <t>Fluid Condtions</t>
  </si>
  <si>
    <t>R_clad</t>
  </si>
  <si>
    <t>m_dot</t>
  </si>
  <si>
    <t>kg/sec</t>
  </si>
  <si>
    <t>R_fluid</t>
  </si>
  <si>
    <t>Pref</t>
  </si>
  <si>
    <t>Mpa</t>
  </si>
  <si>
    <t>T_in</t>
  </si>
  <si>
    <t>C</t>
  </si>
  <si>
    <t>Temperature Drops</t>
  </si>
  <si>
    <t>h_in</t>
  </si>
  <si>
    <t>kJ/kg</t>
  </si>
  <si>
    <t>T_gap</t>
  </si>
  <si>
    <t>cp_in</t>
  </si>
  <si>
    <t>kJ/kg-k</t>
  </si>
  <si>
    <t>T_clad</t>
  </si>
  <si>
    <t>kl_in</t>
  </si>
  <si>
    <t>W/m-K</t>
  </si>
  <si>
    <t>T_fluid</t>
  </si>
  <si>
    <t>mu_in</t>
  </si>
  <si>
    <t>Pa-s</t>
  </si>
  <si>
    <t>cp_bar</t>
  </si>
  <si>
    <t>T_out</t>
  </si>
  <si>
    <t>cp_out</t>
  </si>
  <si>
    <t>kl_out</t>
  </si>
  <si>
    <t>mu_out</t>
  </si>
  <si>
    <t>AXIAL LEVEL 3 5 Radial Nodes</t>
  </si>
  <si>
    <t>Raw Data</t>
  </si>
  <si>
    <t>dr [ft]</t>
  </si>
  <si>
    <t>FLUID</t>
  </si>
  <si>
    <t>r [ft]</t>
  </si>
  <si>
    <t>T(r) [F]</t>
  </si>
  <si>
    <t>Semi-implicit Trans</t>
  </si>
  <si>
    <t>Implicit Trans</t>
  </si>
  <si>
    <t>Balance Checks</t>
  </si>
  <si>
    <t>Implicit SS</t>
  </si>
  <si>
    <t>Original</t>
  </si>
  <si>
    <t>Relative Temperature Difference</t>
  </si>
  <si>
    <t>r [cm]</t>
  </si>
  <si>
    <t>T(r)-T(s) [C]</t>
  </si>
  <si>
    <t>Analytical</t>
  </si>
  <si>
    <t>Difference</t>
  </si>
  <si>
    <t>Absolute Temperature Difference</t>
  </si>
  <si>
    <t>T(r)[C]</t>
  </si>
  <si>
    <t>Relative Difference</t>
  </si>
  <si>
    <t>DATA</t>
  </si>
  <si>
    <t>AXIAL LEVEL 3 10 Radial Nodes</t>
  </si>
  <si>
    <t>AXIAL LEVEL 3 20 Radial Nodes</t>
  </si>
  <si>
    <t>Axial Centerline Temperature [K]</t>
  </si>
  <si>
    <t>Fuel Centerline Temperature Difference [K]</t>
  </si>
  <si>
    <t>delta_R_1 [cm]</t>
  </si>
  <si>
    <t>EXACT</t>
  </si>
  <si>
    <t>NR</t>
  </si>
  <si>
    <t>Fuel Centerline Temperature Error [%]</t>
  </si>
  <si>
    <t>1/N</t>
  </si>
  <si>
    <t>Order of Accuracies</t>
  </si>
  <si>
    <t>dt</t>
  </si>
  <si>
    <t>Original Semi-implic</t>
  </si>
  <si>
    <t>r</t>
  </si>
  <si>
    <t>rb</t>
  </si>
  <si>
    <t>A</t>
  </si>
  <si>
    <t>A_calc</t>
  </si>
  <si>
    <t>A_total</t>
  </si>
  <si>
    <t>NODE 10</t>
  </si>
  <si>
    <t>CTF</t>
  </si>
  <si>
    <t>A_i</t>
  </si>
  <si>
    <t>q'''</t>
  </si>
  <si>
    <t>q_region</t>
  </si>
  <si>
    <t>q_total</t>
  </si>
  <si>
    <t>qgen_i</t>
  </si>
  <si>
    <t>q_left</t>
  </si>
  <si>
    <t>q_right</t>
  </si>
  <si>
    <t>q_gen_exp</t>
  </si>
  <si>
    <t>-</t>
  </si>
  <si>
    <t>q_gen_ratio</t>
  </si>
  <si>
    <t>q_left_ratio</t>
  </si>
  <si>
    <t>q_right_ratio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</si>
</sst>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"/>
    <numFmt numFmtId="166" formatCode="0.000"/>
    <numFmt numFmtId="167" formatCode="0.00"/>
    <numFmt numFmtId="168" formatCode="0.00000"/>
    <numFmt numFmtId="169" formatCode="0.0000"/>
    <numFmt numFmtId="170" formatCode="0.00E+000"/>
    <numFmt numFmtId="171" formatCode="0.0000E+00"/>
    <numFmt numFmtId="172" formatCode="0.000000E+00"/>
    <numFmt numFmtId="173" formatCode="0.00000000"/>
    <numFmt numFmtId="174" formatCode="0.00%"/>
    <numFmt numFmtId="175" formatCode="0.0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Monospace"/>
      <family val="0"/>
      <charset val="1"/>
    </font>
    <font>
      <b val="true"/>
      <sz val="15"/>
      <name val="Arial"/>
      <family val="2"/>
      <charset val="1"/>
    </font>
    <font>
      <sz val="10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5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Profile_5'!$L$24:$L$24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5"/>
          </c:marker>
          <c:xVal>
            <c:numRef>
              <c:f>'SS Rod Radial Profile_5'!$D$14:$I$14</c:f>
              <c:numCache>
                <c:formatCode>General</c:formatCode>
                <c:ptCount val="6"/>
                <c:pt idx="0">
                  <c:v>0.0643624305720022</c:v>
                </c:pt>
                <c:pt idx="1">
                  <c:v>0.143918769956108</c:v>
                </c:pt>
                <c:pt idx="2">
                  <c:v>0.232062043640845</c:v>
                </c:pt>
                <c:pt idx="3">
                  <c:v>0.321812152860012</c:v>
                </c:pt>
                <c:pt idx="4">
                  <c:v>0.409600000000001</c:v>
                </c:pt>
                <c:pt idx="5">
                  <c:v>0.418000000000001</c:v>
                </c:pt>
              </c:numCache>
            </c:numRef>
          </c:xVal>
          <c:yVal>
            <c:numRef>
              <c:f>'SS Rod Radial Profile_5'!$M$24:$W$24</c:f>
              <c:numCache>
                <c:formatCode>General</c:formatCode>
                <c:ptCount val="11"/>
                <c:pt idx="0">
                  <c:v>-0.00322070953956899</c:v>
                </c:pt>
                <c:pt idx="1">
                  <c:v>-0.00385974193539581</c:v>
                </c:pt>
                <c:pt idx="2">
                  <c:v>-0.0019784991626861</c:v>
                </c:pt>
                <c:pt idx="3">
                  <c:v>-0.00103466519546317</c:v>
                </c:pt>
                <c:pt idx="4">
                  <c:v>-0.000384708232615106</c:v>
                </c:pt>
                <c:pt idx="5">
                  <c:v>-0.000103153917138206</c:v>
                </c:pt>
                <c:pt idx="6">
                  <c:v>-0.000108593952080283</c:v>
                </c:pt>
                <c:pt idx="7">
                  <c:v>-8.4485978470357E-005</c:v>
                </c:pt>
                <c:pt idx="8">
                  <c:v>0</c:v>
                </c:pt>
                <c:pt idx="9">
                  <c:v/>
                </c:pt>
                <c:pt idx="10">
                  <c:v/>
                </c:pt>
              </c:numCache>
            </c:numRef>
          </c:yVal>
        </c:ser>
        <c:ser>
          <c:idx val="1"/>
          <c:order val="1"/>
          <c:tx>
            <c:strRef>
              <c:f>'SS Rod Radial Profile_5'!$L$25:$L$25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5"/>
          </c:marker>
          <c:xVal>
            <c:numRef>
              <c:f>'SS Rod Radial Profile_5'!$D$14:$I$14</c:f>
              <c:numCache>
                <c:formatCode>General</c:formatCode>
                <c:ptCount val="6"/>
                <c:pt idx="0">
                  <c:v>0.0643624305720022</c:v>
                </c:pt>
                <c:pt idx="1">
                  <c:v>0.143918769956108</c:v>
                </c:pt>
                <c:pt idx="2">
                  <c:v>0.232062043640845</c:v>
                </c:pt>
                <c:pt idx="3">
                  <c:v>0.321812152860012</c:v>
                </c:pt>
                <c:pt idx="4">
                  <c:v>0.409600000000001</c:v>
                </c:pt>
                <c:pt idx="5">
                  <c:v>0.418000000000001</c:v>
                </c:pt>
              </c:numCache>
            </c:numRef>
          </c:xVal>
          <c:yVal>
            <c:numRef>
              <c:f>'SS Rod Radial Profile_5'!$M$25:$W$25</c:f>
              <c:numCache>
                <c:formatCode>General</c:formatCode>
                <c:ptCount val="11"/>
                <c:pt idx="0">
                  <c:v>-0.00328256035720401</c:v>
                </c:pt>
                <c:pt idx="1">
                  <c:v>-0.00392038899198077</c:v>
                </c:pt>
                <c:pt idx="2">
                  <c:v>-0.00203569891458257</c:v>
                </c:pt>
                <c:pt idx="3">
                  <c:v>-0.00108419928522274</c:v>
                </c:pt>
                <c:pt idx="4">
                  <c:v>-0.000423004551351688</c:v>
                </c:pt>
                <c:pt idx="5">
                  <c:v>-0.000127713256185635</c:v>
                </c:pt>
                <c:pt idx="6">
                  <c:v>-0.000116106577540545</c:v>
                </c:pt>
                <c:pt idx="7">
                  <c:v>-8.81068453840961E-005</c:v>
                </c:pt>
                <c:pt idx="8">
                  <c:v>0</c:v>
                </c:pt>
                <c:pt idx="9">
                  <c:v/>
                </c:pt>
                <c:pt idx="10">
                  <c:v/>
                </c:pt>
              </c:numCache>
            </c:numRef>
          </c:yVal>
        </c:ser>
        <c:ser>
          <c:idx val="2"/>
          <c:order val="2"/>
          <c:tx>
            <c:strRef>
              <c:f>'SS Rod Radial Profile_5'!$L$26:$L$26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'SS Rod Radial Profile_5'!$D$14:$I$14</c:f>
              <c:numCache>
                <c:formatCode>General</c:formatCode>
                <c:ptCount val="6"/>
                <c:pt idx="0">
                  <c:v>0.0643624305720022</c:v>
                </c:pt>
                <c:pt idx="1">
                  <c:v>0.143918769956108</c:v>
                </c:pt>
                <c:pt idx="2">
                  <c:v>0.232062043640845</c:v>
                </c:pt>
                <c:pt idx="3">
                  <c:v>0.321812152860012</c:v>
                </c:pt>
                <c:pt idx="4">
                  <c:v>0.409600000000001</c:v>
                </c:pt>
                <c:pt idx="5">
                  <c:v>0.418000000000001</c:v>
                </c:pt>
              </c:numCache>
            </c:numRef>
          </c:xVal>
          <c:yVal>
            <c:numRef>
              <c:f>'SS Rod Radial Profile_5'!$M$26:$W$26</c:f>
              <c:numCache>
                <c:formatCode>General</c:formatCode>
                <c:ptCount val="11"/>
                <c:pt idx="0">
                  <c:v>-0.00320800676757545</c:v>
                </c:pt>
                <c:pt idx="1">
                  <c:v>-0.00384728595635341</c:v>
                </c:pt>
                <c:pt idx="2">
                  <c:v>-0.00196674985834773</c:v>
                </c:pt>
                <c:pt idx="3">
                  <c:v>-0.0010244902257651</c:v>
                </c:pt>
                <c:pt idx="4">
                  <c:v>-0.00037684286158412</c:v>
                </c:pt>
                <c:pt idx="5">
                  <c:v>-9.8109497716301E-005</c:v>
                </c:pt>
                <c:pt idx="6">
                  <c:v>-0.000107049628530518</c:v>
                </c:pt>
                <c:pt idx="7">
                  <c:v>-8.37418356863013E-005</c:v>
                </c:pt>
                <c:pt idx="8">
                  <c:v>0</c:v>
                </c:pt>
                <c:pt idx="9">
                  <c:v/>
                </c:pt>
                <c:pt idx="10">
                  <c:v/>
                </c:pt>
              </c:numCache>
            </c:numRef>
          </c:yVal>
        </c:ser>
        <c:axId val="75679748"/>
        <c:axId val="71231771"/>
      </c:scatterChart>
      <c:valAx>
        <c:axId val="756797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231771"/>
        <c:crossesAt val="0"/>
      </c:valAx>
      <c:valAx>
        <c:axId val="712317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67974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Temperature Profile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Profile_5'!$B$23:$B$23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xVal>
            <c:numRef>
              <c:f>'SS Rod Radial Profile_5'!$C$22:$J$22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Profile_5'!$C$23:$J$23</c:f>
              <c:numCache>
                <c:formatCode>General</c:formatCode>
                <c:ptCount val="8"/>
                <c:pt idx="0">
                  <c:v>386.952577970341</c:v>
                </c:pt>
                <c:pt idx="1">
                  <c:v>385.49090764417</c:v>
                </c:pt>
                <c:pt idx="2">
                  <c:v>379.644226339487</c:v>
                </c:pt>
                <c:pt idx="3">
                  <c:v>367.95086373012</c:v>
                </c:pt>
                <c:pt idx="4">
                  <c:v>350.41081981607</c:v>
                </c:pt>
                <c:pt idx="5">
                  <c:v>327.754929760422</c:v>
                </c:pt>
                <c:pt idx="6">
                  <c:v>300.383225357136</c:v>
                </c:pt>
                <c:pt idx="7">
                  <c:v>294.895615655746</c:v>
                </c:pt>
              </c:numCache>
            </c:numRef>
          </c:yVal>
        </c:ser>
        <c:ser>
          <c:idx val="1"/>
          <c:order val="1"/>
          <c:tx>
            <c:strRef>
              <c:f>'SS Rod Radial Profile_5'!$B$24:$B$24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Profile_5'!$C$22:$J$22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Profile_5'!$C$24:$J$24</c:f>
              <c:numCache>
                <c:formatCode>General</c:formatCode>
                <c:ptCount val="8"/>
                <c:pt idx="0">
                  <c:v>385.706316111111</c:v>
                </c:pt>
                <c:pt idx="1">
                  <c:v>384.003012222222</c:v>
                </c:pt>
                <c:pt idx="2">
                  <c:v>378.893100555556</c:v>
                </c:pt>
                <c:pt idx="3">
                  <c:v>367.570157777778</c:v>
                </c:pt>
                <c:pt idx="4">
                  <c:v>350.276013888889</c:v>
                </c:pt>
                <c:pt idx="5">
                  <c:v>327.721120555556</c:v>
                </c:pt>
                <c:pt idx="6">
                  <c:v>300.350605555556</c:v>
                </c:pt>
                <c:pt idx="7">
                  <c:v>294.870701111111</c:v>
                </c:pt>
              </c:numCache>
            </c:numRef>
          </c:yVal>
        </c:ser>
        <c:ser>
          <c:idx val="2"/>
          <c:order val="2"/>
          <c:tx>
            <c:strRef>
              <c:f>'SS Rod Radial Profile_5'!$B$26:$B$26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Profile_5'!$C$22:$J$22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Profile_5'!$C$26:$J$26</c:f>
              <c:numCache>
                <c:formatCode>General</c:formatCode>
                <c:ptCount val="8"/>
                <c:pt idx="0">
                  <c:v>385.711231481481</c:v>
                </c:pt>
                <c:pt idx="1">
                  <c:v>384.007813888889</c:v>
                </c:pt>
                <c:pt idx="2">
                  <c:v>378.897561111111</c:v>
                </c:pt>
                <c:pt idx="3">
                  <c:v>367.573901666667</c:v>
                </c:pt>
                <c:pt idx="4">
                  <c:v>350.27877</c:v>
                </c:pt>
                <c:pt idx="5">
                  <c:v>327.722773888889</c:v>
                </c:pt>
                <c:pt idx="6">
                  <c:v>300.351069444444</c:v>
                </c:pt>
                <c:pt idx="7">
                  <c:v>294.870920555556</c:v>
                </c:pt>
              </c:numCache>
            </c:numRef>
          </c:yVal>
        </c:ser>
        <c:axId val="11747499"/>
        <c:axId val="92636010"/>
      </c:scatterChart>
      <c:valAx>
        <c:axId val="11747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636010"/>
        <c:crossesAt val="0"/>
      </c:valAx>
      <c:valAx>
        <c:axId val="926360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74749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5"/>
          </c:marker>
          <c:xVal>
            <c:numRef>
              <c:f>'SS Rod Radial Profile_5'!$C$14:$J$14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Profile_5'!$C$15:$J$15</c:f>
              <c:numCache>
                <c:formatCode>General</c:formatCode>
                <c:ptCount val="8"/>
                <c:pt idx="0">
                  <c:v>92.0569623145947</c:v>
                </c:pt>
                <c:pt idx="1">
                  <c:v>90.5952919884238</c:v>
                </c:pt>
                <c:pt idx="2">
                  <c:v>84.7486106837404</c:v>
                </c:pt>
                <c:pt idx="3">
                  <c:v>73.0552480743736</c:v>
                </c:pt>
                <c:pt idx="4">
                  <c:v>55.5152041603232</c:v>
                </c:pt>
                <c:pt idx="5">
                  <c:v>32.8593141046753</c:v>
                </c:pt>
                <c:pt idx="6">
                  <c:v>5.4876097013893</c:v>
                </c:pt>
                <c:pt idx="7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Profile_5'!$B$16:$B$16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Profile_5'!$C$14:$J$14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Profile_5'!$C$16:$J$16</c:f>
              <c:numCache>
                <c:formatCode>General</c:formatCode>
                <c:ptCount val="8"/>
                <c:pt idx="0">
                  <c:v>90.8356150000001</c:v>
                </c:pt>
                <c:pt idx="1">
                  <c:v>89.1323111111111</c:v>
                </c:pt>
                <c:pt idx="2">
                  <c:v>84.0223994444444</c:v>
                </c:pt>
                <c:pt idx="3">
                  <c:v>72.6994566666667</c:v>
                </c:pt>
                <c:pt idx="4">
                  <c:v>55.4053127777778</c:v>
                </c:pt>
                <c:pt idx="5">
                  <c:v>32.8504194444445</c:v>
                </c:pt>
                <c:pt idx="6">
                  <c:v>5.47990444444445</c:v>
                </c:pt>
                <c:pt idx="7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'SS Rod Radial Profile_5'!$B$18:$B$18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Profile_5'!$C$14:$J$14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Profile_5'!$C$18:$J$18</c:f>
              <c:numCache>
                <c:formatCode>General</c:formatCode>
                <c:ptCount val="8"/>
                <c:pt idx="0">
                  <c:v>90.8403109259259</c:v>
                </c:pt>
                <c:pt idx="1">
                  <c:v>89.1368933333333</c:v>
                </c:pt>
                <c:pt idx="2">
                  <c:v>84.0266405555556</c:v>
                </c:pt>
                <c:pt idx="3">
                  <c:v>72.7029811111111</c:v>
                </c:pt>
                <c:pt idx="4">
                  <c:v>55.4078494444445</c:v>
                </c:pt>
                <c:pt idx="5">
                  <c:v>32.8518533333333</c:v>
                </c:pt>
                <c:pt idx="6">
                  <c:v>5.48014888888891</c:v>
                </c:pt>
                <c:pt idx="7">
                  <c:v>0</c:v>
                </c:pt>
              </c:numCache>
            </c:numRef>
          </c:yVal>
        </c:ser>
        <c:ser>
          <c:idx val="3"/>
          <c:order val="3"/>
          <c:tx>
            <c:strRef>
              <c:f>'SS Rod Radial Profile_5'!$B$17:$B$17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Profile_5'!$C$14:$J$14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Profile_5'!$C$17:$J$17</c:f>
              <c:numCache>
                <c:formatCode>General</c:formatCode>
                <c:ptCount val="8"/>
                <c:pt idx="0">
                  <c:v>90.8127494444444</c:v>
                </c:pt>
                <c:pt idx="1">
                  <c:v>89.11</c:v>
                </c:pt>
                <c:pt idx="2">
                  <c:v>84.0017516666666</c:v>
                </c:pt>
                <c:pt idx="3">
                  <c:v>72.6822983333333</c:v>
                </c:pt>
                <c:pt idx="4">
                  <c:v>55.3929611111111</c:v>
                </c:pt>
                <c:pt idx="5">
                  <c:v>32.8434377777777</c:v>
                </c:pt>
                <c:pt idx="6">
                  <c:v>5.47871555555553</c:v>
                </c:pt>
                <c:pt idx="7">
                  <c:v>0</c:v>
                </c:pt>
              </c:numCache>
            </c:numRef>
          </c:yVal>
        </c:ser>
        <c:axId val="14199747"/>
        <c:axId val="37228648"/>
      </c:scatterChart>
      <c:valAx>
        <c:axId val="14199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228648"/>
        <c:crossesAt val="0"/>
      </c:valAx>
      <c:valAx>
        <c:axId val="37228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19974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Profile_5'!$L$16:$L$16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5"/>
          </c:marker>
          <c:xVal>
            <c:numRef>
              <c:f>'SS Rod Radial Profile_5'!$C$14:$I$14</c:f>
              <c:numCache>
                <c:formatCode>General</c:formatCode>
                <c:ptCount val="7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</c:numCache>
            </c:numRef>
          </c:xVal>
          <c:yVal>
            <c:numRef>
              <c:f>'SS Rod Radial Profile_5'!$M$16:$Y$16</c:f>
              <c:numCache>
                <c:formatCode>General</c:formatCode>
                <c:ptCount val="13"/>
                <c:pt idx="0">
                  <c:v>-1.2213473145946</c:v>
                </c:pt>
                <c:pt idx="1">
                  <c:v>-1.46298087731267</c:v>
                </c:pt>
                <c:pt idx="2">
                  <c:v>-0.726211239295964</c:v>
                </c:pt>
                <c:pt idx="3">
                  <c:v>-0.355791407706889</c:v>
                </c:pt>
                <c:pt idx="4">
                  <c:v>-0.109891382545378</c:v>
                </c:pt>
                <c:pt idx="5">
                  <c:v>-0.00889466023086527</c:v>
                </c:pt>
                <c:pt idx="6">
                  <c:v>-0.00770525694484814</c:v>
                </c:pt>
                <c:pt idx="7">
                  <c:v>0</c:v>
                </c:pt>
                <c:pt idx="8">
                  <c:v>0.0249145446353349</c:v>
                </c:pt>
                <c:pt idx="9">
                  <c:v/>
                </c:pt>
                <c:pt idx="10">
                  <c:v>-0.0228655555556827</c:v>
                </c:pt>
                <c:pt idx="11">
                  <c:v>-0.0223111111111791</c:v>
                </c:pt>
                <c:pt idx="12">
                  <c:v>-0.0206477777778105</c:v>
                </c:pt>
              </c:numCache>
            </c:numRef>
          </c:yVal>
        </c:ser>
        <c:ser>
          <c:idx val="1"/>
          <c:order val="1"/>
          <c:tx>
            <c:strRef>
              <c:f>'SS Rod Radial Profile_5'!$L$17:$L$17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'SS Rod Radial Profile_5'!$C$14:$I$14</c:f>
              <c:numCache>
                <c:formatCode>General</c:formatCode>
                <c:ptCount val="7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</c:numCache>
            </c:numRef>
          </c:xVal>
          <c:yVal>
            <c:numRef>
              <c:f>'SS Rod Radial Profile_5'!$M$17:$Y$17</c:f>
              <c:numCache>
                <c:formatCode>General</c:formatCode>
                <c:ptCount val="13"/>
                <c:pt idx="0">
                  <c:v>-1.24421287015028</c:v>
                </c:pt>
                <c:pt idx="1">
                  <c:v>-1.48529198842385</c:v>
                </c:pt>
                <c:pt idx="2">
                  <c:v>-0.746859017073774</c:v>
                </c:pt>
                <c:pt idx="3">
                  <c:v>-0.372949741040287</c:v>
                </c:pt>
                <c:pt idx="4">
                  <c:v>-0.122243049212059</c:v>
                </c:pt>
                <c:pt idx="5">
                  <c:v>-0.0158763268975832</c:v>
                </c:pt>
                <c:pt idx="6">
                  <c:v>-0.00889414583376702</c:v>
                </c:pt>
                <c:pt idx="7">
                  <c:v>0</c:v>
                </c:pt>
                <c:pt idx="8">
                  <c:v>0.0259823224130695</c:v>
                </c:pt>
                <c:pt idx="9">
                  <c:v/>
                </c:pt>
                <c:pt idx="10">
                  <c:v>0.00469592592587276</c:v>
                </c:pt>
                <c:pt idx="11">
                  <c:v>0.00458222222221139</c:v>
                </c:pt>
                <c:pt idx="12">
                  <c:v>0.004241111111142</c:v>
                </c:pt>
              </c:numCache>
            </c:numRef>
          </c:yVal>
        </c:ser>
        <c:axId val="6145801"/>
        <c:axId val="44160717"/>
      </c:scatterChart>
      <c:valAx>
        <c:axId val="61458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160717"/>
        <c:crossesAt val="0"/>
      </c:valAx>
      <c:valAx>
        <c:axId val="441607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4580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Profile_5'!$C$14:$J$14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Profile_5'!$C$16:$J$16</c:f>
              <c:numCache>
                <c:formatCode>General</c:formatCode>
                <c:ptCount val="8"/>
                <c:pt idx="0">
                  <c:v>90.8356150000001</c:v>
                </c:pt>
                <c:pt idx="1">
                  <c:v>89.1323111111111</c:v>
                </c:pt>
                <c:pt idx="2">
                  <c:v>84.0223994444444</c:v>
                </c:pt>
                <c:pt idx="3">
                  <c:v>72.6994566666667</c:v>
                </c:pt>
                <c:pt idx="4">
                  <c:v>55.4053127777778</c:v>
                </c:pt>
                <c:pt idx="5">
                  <c:v>32.8504194444445</c:v>
                </c:pt>
                <c:pt idx="6">
                  <c:v>5.47990444444445</c:v>
                </c:pt>
                <c:pt idx="7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Profile_5'!$B$17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Profile_5'!$C$14:$J$14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Profile_5'!$C$17:$J$17</c:f>
              <c:numCache>
                <c:formatCode>General</c:formatCode>
                <c:ptCount val="8"/>
                <c:pt idx="0">
                  <c:v>90.8127494444444</c:v>
                </c:pt>
                <c:pt idx="1">
                  <c:v>89.11</c:v>
                </c:pt>
                <c:pt idx="2">
                  <c:v>84.0017516666666</c:v>
                </c:pt>
                <c:pt idx="3">
                  <c:v>72.6822983333333</c:v>
                </c:pt>
                <c:pt idx="4">
                  <c:v>55.3929611111111</c:v>
                </c:pt>
                <c:pt idx="5">
                  <c:v>32.8434377777777</c:v>
                </c:pt>
                <c:pt idx="6">
                  <c:v>5.47871555555553</c:v>
                </c:pt>
                <c:pt idx="7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'SS Rod Radial Profile_5'!$B$18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Profile_5'!$C$14:$J$14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Profile_5'!$C$18:$J$18</c:f>
              <c:numCache>
                <c:formatCode>General</c:formatCode>
                <c:ptCount val="8"/>
                <c:pt idx="0">
                  <c:v>90.8403109259259</c:v>
                </c:pt>
                <c:pt idx="1">
                  <c:v>89.1368933333333</c:v>
                </c:pt>
                <c:pt idx="2">
                  <c:v>84.0266405555556</c:v>
                </c:pt>
                <c:pt idx="3">
                  <c:v>72.7029811111111</c:v>
                </c:pt>
                <c:pt idx="4">
                  <c:v>55.4078494444445</c:v>
                </c:pt>
                <c:pt idx="5">
                  <c:v>32.8518533333333</c:v>
                </c:pt>
                <c:pt idx="6">
                  <c:v>5.48014888888891</c:v>
                </c:pt>
                <c:pt idx="7">
                  <c:v>0</c:v>
                </c:pt>
              </c:numCache>
            </c:numRef>
          </c:yVal>
        </c:ser>
        <c:ser>
          <c:idx val="3"/>
          <c:order val="3"/>
          <c:tx>
            <c:strRef>
              <c:f>'SS Rod Radial Profile_5'!$B$19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Profile_5'!$C$14:$J$14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Profile_5'!$C$19:$J$19</c:f>
              <c:numCache>
                <c:formatCode>General</c:formatCode>
                <c:ptCount val="8"/>
                <c:pt idx="0">
                  <c:v>90.0760298148147</c:v>
                </c:pt>
                <c:pt idx="1">
                  <c:v>88.5076977777778</c:v>
                </c:pt>
                <c:pt idx="2">
                  <c:v>83.8027016666667</c:v>
                </c:pt>
                <c:pt idx="3">
                  <c:v>72.6294144444444</c:v>
                </c:pt>
                <c:pt idx="4">
                  <c:v>55.4243427777778</c:v>
                </c:pt>
                <c:pt idx="5">
                  <c:v>32.8593144444445</c:v>
                </c:pt>
                <c:pt idx="6">
                  <c:v>5.48761000000001</c:v>
                </c:pt>
                <c:pt idx="7">
                  <c:v>0</c:v>
                </c:pt>
              </c:numCache>
            </c:numRef>
          </c:yVal>
        </c:ser>
        <c:ser>
          <c:idx val="4"/>
          <c:order val="4"/>
          <c:tx>
            <c:strRef>
              <c:f>'SS Rod Radial Profile_5'!$B$15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'SS Rod Radial Profile_5'!$C$14:$J$14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Profile_5'!$C$15:$J$15</c:f>
              <c:numCache>
                <c:formatCode>General</c:formatCode>
                <c:ptCount val="8"/>
                <c:pt idx="0">
                  <c:v>92.0569623145947</c:v>
                </c:pt>
                <c:pt idx="1">
                  <c:v>90.5952919884238</c:v>
                </c:pt>
                <c:pt idx="2">
                  <c:v>84.7486106837404</c:v>
                </c:pt>
                <c:pt idx="3">
                  <c:v>73.0552480743736</c:v>
                </c:pt>
                <c:pt idx="4">
                  <c:v>55.5152041603232</c:v>
                </c:pt>
                <c:pt idx="5">
                  <c:v>32.8593141046753</c:v>
                </c:pt>
                <c:pt idx="6">
                  <c:v>5.4876097013893</c:v>
                </c:pt>
                <c:pt idx="7">
                  <c:v>0</c:v>
                </c:pt>
              </c:numCache>
            </c:numRef>
          </c:yVal>
        </c:ser>
        <c:axId val="68029983"/>
        <c:axId val="36835623"/>
      </c:scatterChart>
      <c:valAx>
        <c:axId val="68029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835623"/>
        <c:crosses val="autoZero"/>
      </c:valAx>
      <c:valAx>
        <c:axId val="36835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0299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Profile_10'!$Q$24:$Q$24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5"/>
          </c:marker>
          <c:xVal>
            <c:numRef>
              <c:f>'SS Rod Radial Profile_10'!$E$14:$M$14</c:f>
              <c:numCache>
                <c:formatCode>General</c:formatCode>
                <c:ptCount val="9"/>
                <c:pt idx="0">
                  <c:v>0.0681720489265772</c:v>
                </c:pt>
                <c:pt idx="1">
                  <c:v>0.109924125935137</c:v>
                </c:pt>
                <c:pt idx="2">
                  <c:v>0.152437335565268</c:v>
                </c:pt>
                <c:pt idx="3">
                  <c:v>0.195215039609531</c:v>
                </c:pt>
                <c:pt idx="4">
                  <c:v>0.238114730138942</c:v>
                </c:pt>
                <c:pt idx="5">
                  <c:v>0.281080558439053</c:v>
                </c:pt>
                <c:pt idx="6">
                  <c:v>0.324086220872712</c:v>
                </c:pt>
                <c:pt idx="7">
                  <c:v>0.367117718709654</c:v>
                </c:pt>
                <c:pt idx="8">
                  <c:v>0.409600000000001</c:v>
                </c:pt>
              </c:numCache>
            </c:numRef>
          </c:xVal>
          <c:yVal>
            <c:numRef>
              <c:f>'SS Rod Radial Profile_10'!$R$24:$AB$24</c:f>
              <c:numCache>
                <c:formatCode>General</c:formatCode>
                <c:ptCount val="11"/>
                <c:pt idx="0">
                  <c:v>-0.00113885236671999</c:v>
                </c:pt>
                <c:pt idx="1">
                  <c:v>-0.00128004250439773</c:v>
                </c:pt>
                <c:pt idx="2">
                  <c:v>-0.000855339879866678</c:v>
                </c:pt>
                <c:pt idx="3">
                  <c:v>-0.000643953054564871</c:v>
                </c:pt>
                <c:pt idx="4">
                  <c:v>-0.00050481958700866</c:v>
                </c:pt>
                <c:pt idx="5">
                  <c:v>-0.000400959424748247</c:v>
                </c:pt>
                <c:pt idx="6">
                  <c:v>-0.000317577444690732</c:v>
                </c:pt>
                <c:pt idx="7">
                  <c:v>-0.000247194039028438</c:v>
                </c:pt>
                <c:pt idx="8">
                  <c:v>-0.000185426744406641</c:v>
                </c:pt>
                <c:pt idx="9">
                  <c:v>-0.000129402327252102</c:v>
                </c:pt>
                <c:pt idx="10">
                  <c:v>-0.000103687852661742</c:v>
                </c:pt>
              </c:numCache>
            </c:numRef>
          </c:yVal>
        </c:ser>
        <c:ser>
          <c:idx val="1"/>
          <c:order val="1"/>
          <c:tx>
            <c:strRef>
              <c:f>'SS Rod Radial Profile_10'!$Q$26:$Q$26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5"/>
          </c:marker>
          <c:xVal>
            <c:numRef>
              <c:f>'SS Rod Radial Profile_10'!$E$14:$M$14</c:f>
              <c:numCache>
                <c:formatCode>General</c:formatCode>
                <c:ptCount val="9"/>
                <c:pt idx="0">
                  <c:v>0.0681720489265772</c:v>
                </c:pt>
                <c:pt idx="1">
                  <c:v>0.109924125935137</c:v>
                </c:pt>
                <c:pt idx="2">
                  <c:v>0.152437335565268</c:v>
                </c:pt>
                <c:pt idx="3">
                  <c:v>0.195215039609531</c:v>
                </c:pt>
                <c:pt idx="4">
                  <c:v>0.238114730138942</c:v>
                </c:pt>
                <c:pt idx="5">
                  <c:v>0.281080558439053</c:v>
                </c:pt>
                <c:pt idx="6">
                  <c:v>0.324086220872712</c:v>
                </c:pt>
                <c:pt idx="7">
                  <c:v>0.367117718709654</c:v>
                </c:pt>
                <c:pt idx="8">
                  <c:v>0.409600000000001</c:v>
                </c:pt>
              </c:numCache>
            </c:numRef>
          </c:xVal>
          <c:yVal>
            <c:numRef>
              <c:f>'SS Rod Radial Profile_10'!$R$26:$AB$26</c:f>
              <c:numCache>
                <c:formatCode>General</c:formatCode>
                <c:ptCount val="11"/>
                <c:pt idx="0">
                  <c:v>-0.00112485266099232</c:v>
                </c:pt>
                <c:pt idx="1">
                  <c:v>-0.00126610420687243</c:v>
                </c:pt>
                <c:pt idx="2">
                  <c:v>-0.000841574727182494</c:v>
                </c:pt>
                <c:pt idx="3">
                  <c:v>-0.000630582755986256</c:v>
                </c:pt>
                <c:pt idx="4">
                  <c:v>-0.000492046692981934</c:v>
                </c:pt>
                <c:pt idx="5">
                  <c:v>-0.000388975384699831</c:v>
                </c:pt>
                <c:pt idx="6">
                  <c:v>-0.000306567672073802</c:v>
                </c:pt>
                <c:pt idx="7">
                  <c:v>-0.000237329201298255</c:v>
                </c:pt>
                <c:pt idx="8">
                  <c:v>-0.000176862210441405</c:v>
                </c:pt>
                <c:pt idx="9">
                  <c:v>-0.000122278596252944</c:v>
                </c:pt>
                <c:pt idx="10">
                  <c:v>-9.8109497716301E-005</c:v>
                </c:pt>
              </c:numCache>
            </c:numRef>
          </c:yVal>
        </c:ser>
        <c:ser>
          <c:idx val="2"/>
          <c:order val="2"/>
          <c:tx>
            <c:strRef>
              <c:f>'SS Rod Radial Profile_10'!$Q$25:$Q$25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'SS Rod Radial Profile_10'!$E$14:$M$14</c:f>
              <c:numCache>
                <c:formatCode>General</c:formatCode>
                <c:ptCount val="9"/>
                <c:pt idx="0">
                  <c:v>0.0681720489265772</c:v>
                </c:pt>
                <c:pt idx="1">
                  <c:v>0.109924125935137</c:v>
                </c:pt>
                <c:pt idx="2">
                  <c:v>0.152437335565268</c:v>
                </c:pt>
                <c:pt idx="3">
                  <c:v>0.195215039609531</c:v>
                </c:pt>
                <c:pt idx="4">
                  <c:v>0.238114730138942</c:v>
                </c:pt>
                <c:pt idx="5">
                  <c:v>0.281080558439053</c:v>
                </c:pt>
                <c:pt idx="6">
                  <c:v>0.324086220872712</c:v>
                </c:pt>
                <c:pt idx="7">
                  <c:v>0.367117718709654</c:v>
                </c:pt>
                <c:pt idx="8">
                  <c:v>0.409600000000001</c:v>
                </c:pt>
              </c:numCache>
            </c:numRef>
          </c:xVal>
          <c:yVal>
            <c:numRef>
              <c:f>'SS Rod Radial Profile_10'!$R$25:$AB$25</c:f>
              <c:numCache>
                <c:formatCode>General</c:formatCode>
                <c:ptCount val="11"/>
                <c:pt idx="0">
                  <c:v>-0.00120444275638353</c:v>
                </c:pt>
                <c:pt idx="1">
                  <c:v>-0.00134534414677353</c:v>
                </c:pt>
                <c:pt idx="2">
                  <c:v>-0.000919827176290253</c:v>
                </c:pt>
                <c:pt idx="3">
                  <c:v>-0.000706597476310163</c:v>
                </c:pt>
                <c:pt idx="4">
                  <c:v>-0.000564665025260625</c:v>
                </c:pt>
                <c:pt idx="5">
                  <c:v>-0.000457098635813035</c:v>
                </c:pt>
                <c:pt idx="6">
                  <c:v>-0.000369154716933542</c:v>
                </c:pt>
                <c:pt idx="7">
                  <c:v>-0.000293414578920425</c:v>
                </c:pt>
                <c:pt idx="8">
                  <c:v>-0.000225556524057858</c:v>
                </c:pt>
                <c:pt idx="9">
                  <c:v>-0.00016277844744429</c:v>
                </c:pt>
                <c:pt idx="10">
                  <c:v>-0.000129821877745087</c:v>
                </c:pt>
              </c:numCache>
            </c:numRef>
          </c:yVal>
        </c:ser>
        <c:axId val="56567653"/>
        <c:axId val="56525591"/>
      </c:scatterChart>
      <c:valAx>
        <c:axId val="565676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525591"/>
        <c:crossesAt val="0"/>
      </c:valAx>
      <c:valAx>
        <c:axId val="56525591"/>
        <c:scaling>
          <c:orientation val="minMax"/>
          <c:min val="0.00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56765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Temperature Profile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Profile_10'!$B$23:$B$23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xVal>
            <c:numRef>
              <c:f>'SS Rod Radial Profile_10'!$C$22:$O$22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Profile_10'!$C$23:$O$23</c:f>
              <c:numCache>
                <c:formatCode>General</c:formatCode>
                <c:ptCount val="13"/>
                <c:pt idx="0">
                  <c:v>386.952577970341</c:v>
                </c:pt>
                <c:pt idx="1">
                  <c:v>386.624613160314</c:v>
                </c:pt>
                <c:pt idx="2">
                  <c:v>385.312753920205</c:v>
                </c:pt>
                <c:pt idx="3">
                  <c:v>382.689035439987</c:v>
                </c:pt>
                <c:pt idx="4">
                  <c:v>378.75345771966</c:v>
                </c:pt>
                <c:pt idx="5">
                  <c:v>373.506020759224</c:v>
                </c:pt>
                <c:pt idx="6">
                  <c:v>366.946724558679</c:v>
                </c:pt>
                <c:pt idx="7">
                  <c:v>359.075569118025</c:v>
                </c:pt>
                <c:pt idx="8">
                  <c:v>349.892554437261</c:v>
                </c:pt>
                <c:pt idx="9">
                  <c:v>339.39768051639</c:v>
                </c:pt>
                <c:pt idx="10">
                  <c:v>327.754929760422</c:v>
                </c:pt>
                <c:pt idx="11">
                  <c:v>300.383225357136</c:v>
                </c:pt>
                <c:pt idx="12">
                  <c:v>294.895615655746</c:v>
                </c:pt>
              </c:numCache>
            </c:numRef>
          </c:yVal>
        </c:ser>
        <c:ser>
          <c:idx val="1"/>
          <c:order val="1"/>
          <c:tx>
            <c:strRef>
              <c:f>'SS Rod Radial Profile_10'!$B$24:$B$24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Profile_10'!$C$22:$O$22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Profile_10'!$C$24:$O$24</c:f>
              <c:numCache>
                <c:formatCode>General</c:formatCode>
                <c:ptCount val="13"/>
                <c:pt idx="0">
                  <c:v>386.511896111111</c:v>
                </c:pt>
                <c:pt idx="1">
                  <c:v>386.129717222222</c:v>
                </c:pt>
                <c:pt idx="2">
                  <c:v>384.983180555556</c:v>
                </c:pt>
                <c:pt idx="3">
                  <c:v>382.442601666667</c:v>
                </c:pt>
                <c:pt idx="4">
                  <c:v>378.562255555556</c:v>
                </c:pt>
                <c:pt idx="5">
                  <c:v>373.35626</c:v>
                </c:pt>
                <c:pt idx="6">
                  <c:v>366.830190555556</c:v>
                </c:pt>
                <c:pt idx="7">
                  <c:v>358.986807777778</c:v>
                </c:pt>
                <c:pt idx="8">
                  <c:v>349.827675</c:v>
                </c:pt>
                <c:pt idx="9">
                  <c:v>339.353761666667</c:v>
                </c:pt>
                <c:pt idx="10">
                  <c:v>327.720945555556</c:v>
                </c:pt>
                <c:pt idx="11">
                  <c:v>300.350556666667</c:v>
                </c:pt>
                <c:pt idx="12">
                  <c:v>294.870677777778</c:v>
                </c:pt>
              </c:numCache>
            </c:numRef>
          </c:yVal>
        </c:ser>
        <c:ser>
          <c:idx val="2"/>
          <c:order val="2"/>
          <c:tx>
            <c:strRef>
              <c:f>'SS Rod Radial Profile_10'!$B$26:$B$26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Profile_10'!$C$22:$O$22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Profile_10'!$C$26:$O$26</c:f>
              <c:numCache>
                <c:formatCode>General</c:formatCode>
                <c:ptCount val="13"/>
                <c:pt idx="0">
                  <c:v>386.517313333333</c:v>
                </c:pt>
                <c:pt idx="1">
                  <c:v>386.135106111111</c:v>
                </c:pt>
                <c:pt idx="2">
                  <c:v>384.988484444444</c:v>
                </c:pt>
                <c:pt idx="3">
                  <c:v>382.447718333333</c:v>
                </c:pt>
                <c:pt idx="4">
                  <c:v>378.567093333333</c:v>
                </c:pt>
                <c:pt idx="5">
                  <c:v>373.360736111111</c:v>
                </c:pt>
                <c:pt idx="6">
                  <c:v>366.834230555556</c:v>
                </c:pt>
                <c:pt idx="7">
                  <c:v>358.99035</c:v>
                </c:pt>
                <c:pt idx="8">
                  <c:v>349.830671666667</c:v>
                </c:pt>
                <c:pt idx="9">
                  <c:v>339.356179444444</c:v>
                </c:pt>
                <c:pt idx="10">
                  <c:v>327.722773888889</c:v>
                </c:pt>
                <c:pt idx="11">
                  <c:v>300.351069444444</c:v>
                </c:pt>
                <c:pt idx="12">
                  <c:v>294.870920555556</c:v>
                </c:pt>
              </c:numCache>
            </c:numRef>
          </c:yVal>
        </c:ser>
        <c:axId val="26776848"/>
        <c:axId val="12362318"/>
      </c:scatterChart>
      <c:valAx>
        <c:axId val="2677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362318"/>
        <c:crossesAt val="0"/>
      </c:valAx>
      <c:valAx>
        <c:axId val="12362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77684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5"/>
          </c:marker>
          <c:xVal>
            <c:numRef>
              <c:f>'SS Rod Radial Profile_10'!$C$14:$O$14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Profile_10'!$C$15:$O$15</c:f>
              <c:numCache>
                <c:formatCode>General</c:formatCode>
                <c:ptCount val="13"/>
                <c:pt idx="0">
                  <c:v>92.0569623145947</c:v>
                </c:pt>
                <c:pt idx="1">
                  <c:v>91.7289975045674</c:v>
                </c:pt>
                <c:pt idx="2">
                  <c:v>90.4171382644584</c:v>
                </c:pt>
                <c:pt idx="3">
                  <c:v>87.7934197842404</c:v>
                </c:pt>
                <c:pt idx="4">
                  <c:v>83.8578420639133</c:v>
                </c:pt>
                <c:pt idx="5">
                  <c:v>78.6104051034772</c:v>
                </c:pt>
                <c:pt idx="6">
                  <c:v>72.0511089029322</c:v>
                </c:pt>
                <c:pt idx="7">
                  <c:v>64.1799534622781</c:v>
                </c:pt>
                <c:pt idx="8">
                  <c:v>54.996938781515</c:v>
                </c:pt>
                <c:pt idx="9">
                  <c:v>44.5020648606431</c:v>
                </c:pt>
                <c:pt idx="10">
                  <c:v>32.8593141046753</c:v>
                </c:pt>
                <c:pt idx="11">
                  <c:v>5.4876097013893</c:v>
                </c:pt>
                <c:pt idx="12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Profile_10'!$B$16:$B$16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Profile_10'!$C$14:$O$14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Profile_10'!$C$16:$O$16</c:f>
              <c:numCache>
                <c:formatCode>General</c:formatCode>
                <c:ptCount val="13"/>
                <c:pt idx="0">
                  <c:v>91.6412183333334</c:v>
                </c:pt>
                <c:pt idx="1">
                  <c:v>91.2590394444445</c:v>
                </c:pt>
                <c:pt idx="2">
                  <c:v>90.1125027777778</c:v>
                </c:pt>
                <c:pt idx="3">
                  <c:v>87.5719238888889</c:v>
                </c:pt>
                <c:pt idx="4">
                  <c:v>83.6915777777778</c:v>
                </c:pt>
                <c:pt idx="5">
                  <c:v>78.4855822222222</c:v>
                </c:pt>
                <c:pt idx="6">
                  <c:v>71.9595127777778</c:v>
                </c:pt>
                <c:pt idx="7">
                  <c:v>64.11613</c:v>
                </c:pt>
                <c:pt idx="8">
                  <c:v>54.9569972222222</c:v>
                </c:pt>
                <c:pt idx="9">
                  <c:v>44.4830838888889</c:v>
                </c:pt>
                <c:pt idx="10">
                  <c:v>32.8502677777778</c:v>
                </c:pt>
                <c:pt idx="11">
                  <c:v>5.4798788888889</c:v>
                </c:pt>
                <c:pt idx="12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'SS Rod Radial Profile_10'!$B$18:$B$18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Profile_10'!$C$14:$O$14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Profile_10'!$C$18:$O$18</c:f>
              <c:numCache>
                <c:formatCode>General</c:formatCode>
                <c:ptCount val="13"/>
                <c:pt idx="0">
                  <c:v>91.6463927777778</c:v>
                </c:pt>
                <c:pt idx="1">
                  <c:v>91.2641855555556</c:v>
                </c:pt>
                <c:pt idx="2">
                  <c:v>90.1175638888889</c:v>
                </c:pt>
                <c:pt idx="3">
                  <c:v>87.5767977777778</c:v>
                </c:pt>
                <c:pt idx="4">
                  <c:v>83.6961727777778</c:v>
                </c:pt>
                <c:pt idx="5">
                  <c:v>78.4898155555555</c:v>
                </c:pt>
                <c:pt idx="6">
                  <c:v>71.96331</c:v>
                </c:pt>
                <c:pt idx="7">
                  <c:v>64.1194294444445</c:v>
                </c:pt>
                <c:pt idx="8">
                  <c:v>54.9597511111111</c:v>
                </c:pt>
                <c:pt idx="9">
                  <c:v>44.4852588888889</c:v>
                </c:pt>
                <c:pt idx="10">
                  <c:v>32.8518533333333</c:v>
                </c:pt>
                <c:pt idx="11">
                  <c:v>5.48014888888891</c:v>
                </c:pt>
                <c:pt idx="12">
                  <c:v>0</c:v>
                </c:pt>
              </c:numCache>
            </c:numRef>
          </c:yVal>
        </c:ser>
        <c:ser>
          <c:idx val="3"/>
          <c:order val="3"/>
          <c:tx>
            <c:strRef>
              <c:f>'SS Rod Radial Profile_10'!$B$17:$B$17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Profile_10'!$C$14:$O$14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Profile_10'!$C$17:$O$17</c:f>
              <c:numCache>
                <c:formatCode>General</c:formatCode>
                <c:ptCount val="13"/>
                <c:pt idx="0">
                  <c:v>91.6169740740741</c:v>
                </c:pt>
                <c:pt idx="1">
                  <c:v>91.2349283333334</c:v>
                </c:pt>
                <c:pt idx="2">
                  <c:v>90.0887911111111</c:v>
                </c:pt>
                <c:pt idx="3">
                  <c:v>87.5490866666667</c:v>
                </c:pt>
                <c:pt idx="4">
                  <c:v>83.6700472222222</c:v>
                </c:pt>
                <c:pt idx="5">
                  <c:v>78.46575</c:v>
                </c:pt>
                <c:pt idx="6">
                  <c:v>71.9417227777778</c:v>
                </c:pt>
                <c:pt idx="7">
                  <c:v>64.1006694444445</c:v>
                </c:pt>
                <c:pt idx="8">
                  <c:v>54.9440922222222</c:v>
                </c:pt>
                <c:pt idx="9">
                  <c:v>44.4728922222222</c:v>
                </c:pt>
                <c:pt idx="10">
                  <c:v>32.8428383333333</c:v>
                </c:pt>
                <c:pt idx="11">
                  <c:v>5.47861388888887</c:v>
                </c:pt>
                <c:pt idx="12">
                  <c:v>0</c:v>
                </c:pt>
              </c:numCache>
            </c:numRef>
          </c:yVal>
        </c:ser>
        <c:axId val="83898765"/>
        <c:axId val="5122234"/>
      </c:scatterChart>
      <c:valAx>
        <c:axId val="83898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22234"/>
        <c:crossesAt val="0"/>
      </c:valAx>
      <c:valAx>
        <c:axId val="51222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89876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Profile_10'!$Q$16:$Q$16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5"/>
          </c:marker>
          <c:xVal>
            <c:numRef>
              <c:f>'SS Rod Radial Profile_10'!$C$14:$M$14</c:f>
              <c:numCache>
                <c:formatCode>General</c:formatCode>
                <c:ptCount val="11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</c:numCache>
            </c:numRef>
          </c:xVal>
          <c:yVal>
            <c:numRef>
              <c:f>'SS Rod Radial Profile_10'!$R$15:$AD$15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1"/>
          <c:order val="1"/>
          <c:tx>
            <c:strRef>
              <c:f>'SS Rod Radial Profile_10'!$Q$17:$Q$17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'SS Rod Radial Profile_10'!$C$14:$M$14</c:f>
              <c:numCache>
                <c:formatCode>General</c:formatCode>
                <c:ptCount val="11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</c:numCache>
            </c:numRef>
          </c:xVal>
          <c:yVal>
            <c:numRef>
              <c:f>'SS Rod Radial Profile_10'!$R$16:$AD$16</c:f>
              <c:numCache>
                <c:formatCode>General</c:formatCode>
                <c:ptCount val="13"/>
                <c:pt idx="0">
                  <c:v>-0.415743981261301</c:v>
                </c:pt>
                <c:pt idx="1">
                  <c:v>-0.469958060122906</c:v>
                </c:pt>
                <c:pt idx="2">
                  <c:v>-0.304635486680553</c:v>
                </c:pt>
                <c:pt idx="3">
                  <c:v>-0.22149589535141</c:v>
                </c:pt>
                <c:pt idx="4">
                  <c:v>-0.166264286135515</c:v>
                </c:pt>
                <c:pt idx="5">
                  <c:v>-0.124822881255014</c:v>
                </c:pt>
                <c:pt idx="6">
                  <c:v>-0.0915961251543678</c:v>
                </c:pt>
                <c:pt idx="7">
                  <c:v>-0.06382346227808</c:v>
                </c:pt>
                <c:pt idx="8">
                  <c:v>-0.0399415592928136</c:v>
                </c:pt>
                <c:pt idx="9">
                  <c:v>-0.018980971754182</c:v>
                </c:pt>
                <c:pt idx="10">
                  <c:v>-0.0090463268975256</c:v>
                </c:pt>
                <c:pt idx="11">
                  <c:v>-0.00773081250040253</c:v>
                </c:pt>
                <c:pt idx="12">
                  <c:v>0</c:v>
                </c:pt>
              </c:numCache>
            </c:numRef>
          </c:yVal>
        </c:ser>
        <c:axId val="43533646"/>
        <c:axId val="87356946"/>
      </c:scatterChart>
      <c:valAx>
        <c:axId val="435336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356946"/>
        <c:crossesAt val="0"/>
      </c:valAx>
      <c:valAx>
        <c:axId val="873569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53364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5"/>
          </c:marker>
          <c:xVal>
            <c:numRef>
              <c:f>'SS Rod Radial Profile_20'!$C$14:$AO$14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Profile_20'!$C$15:$AO$15</c:f>
              <c:numCache>
                <c:formatCode>General</c:formatCode>
                <c:ptCount val="39"/>
                <c:pt idx="0">
                  <c:v>92.0569623145947</c:v>
                </c:pt>
                <c:pt idx="1">
                  <c:v>91.9791218830234</c:v>
                </c:pt>
                <c:pt idx="2">
                  <c:v>91.6677601567385</c:v>
                </c:pt>
                <c:pt idx="3">
                  <c:v>91.0450367041687</c:v>
                </c:pt>
                <c:pt idx="4">
                  <c:v>90.110951525314</c:v>
                </c:pt>
                <c:pt idx="5">
                  <c:v>88.8655046201743</c:v>
                </c:pt>
                <c:pt idx="6">
                  <c:v>87.3086959887497</c:v>
                </c:pt>
                <c:pt idx="7">
                  <c:v>85.4405256310402</c:v>
                </c:pt>
                <c:pt idx="8">
                  <c:v>83.2609935470458</c:v>
                </c:pt>
                <c:pt idx="9">
                  <c:v>80.7700997367665</c:v>
                </c:pt>
                <c:pt idx="10">
                  <c:v>77.9678442002023</c:v>
                </c:pt>
                <c:pt idx="11">
                  <c:v>74.8542269373531</c:v>
                </c:pt>
                <c:pt idx="12">
                  <c:v>71.4292479482191</c:v>
                </c:pt>
                <c:pt idx="13">
                  <c:v>67.6929072328001</c:v>
                </c:pt>
                <c:pt idx="14">
                  <c:v>63.6452047910962</c:v>
                </c:pt>
                <c:pt idx="15">
                  <c:v>59.2861406231074</c:v>
                </c:pt>
                <c:pt idx="16">
                  <c:v>54.6157147288339</c:v>
                </c:pt>
                <c:pt idx="17">
                  <c:v>49.6339271082753</c:v>
                </c:pt>
                <c:pt idx="18">
                  <c:v>44.3407777614311</c:v>
                </c:pt>
                <c:pt idx="19">
                  <c:v>38.736266688303</c:v>
                </c:pt>
                <c:pt idx="20">
                  <c:v>32.8593141046753</c:v>
                </c:pt>
                <c:pt idx="21">
                  <c:v>5.4876097013893</c:v>
                </c:pt>
                <c:pt idx="22">
                  <c:v>0</c:v>
                </c:pt>
                <c:pt idx="23">
                  <c:v>-3.96106367480532</c:v>
                </c:pt>
                <c:pt idx="24">
                  <c:v/>
                </c:pt>
                <c:pt idx="25">
                  <c:v/>
                </c:pt>
                <c:pt idx="26">
                  <c:v>-0.136903610890954</c:v>
                </c:pt>
                <c:pt idx="27">
                  <c:v>-0.14977077191233</c:v>
                </c:pt>
                <c:pt idx="28">
                  <c:v>-0.110531823405182</c:v>
                </c:pt>
                <c:pt idx="29">
                  <c:v>-0.0907978152797995</c:v>
                </c:pt>
                <c:pt idx="30">
                  <c:v>-0.0776854142028185</c:v>
                </c:pt>
                <c:pt idx="31">
                  <c:v>-0.067842397952063</c:v>
                </c:pt>
                <c:pt idx="32">
                  <c:v>-0.0599448776385572</c:v>
                </c:pt>
                <c:pt idx="33">
                  <c:v>-0.0533345199290949</c:v>
                </c:pt>
                <c:pt idx="34">
                  <c:v>-0.0476379914902481</c:v>
                </c:pt>
                <c:pt idx="35">
                  <c:v>-0.0426230700997934</c:v>
                </c:pt>
                <c:pt idx="36">
                  <c:v>-0.0381358668688847</c:v>
                </c:pt>
                <c:pt idx="37">
                  <c:v>-0.0340686040198079</c:v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'SS Rod Radial Profile_20'!$B$16:$B$16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Profile_20'!$C$14:$AO$14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Profile_20'!$C$16:$AO$16</c:f>
              <c:numCache>
                <c:formatCode>General</c:formatCode>
                <c:ptCount val="39"/>
                <c:pt idx="0">
                  <c:v>91.9200587037037</c:v>
                </c:pt>
                <c:pt idx="1">
                  <c:v>91.8293511111111</c:v>
                </c:pt>
                <c:pt idx="2">
                  <c:v>91.5572283333333</c:v>
                </c:pt>
                <c:pt idx="3">
                  <c:v>90.9542388888889</c:v>
                </c:pt>
                <c:pt idx="4">
                  <c:v>90.0332661111111</c:v>
                </c:pt>
                <c:pt idx="5">
                  <c:v>88.7976622222222</c:v>
                </c:pt>
                <c:pt idx="6">
                  <c:v>87.2487511111111</c:v>
                </c:pt>
                <c:pt idx="7">
                  <c:v>85.3871911111111</c:v>
                </c:pt>
                <c:pt idx="8">
                  <c:v>83.2133555555556</c:v>
                </c:pt>
                <c:pt idx="9">
                  <c:v>80.7274766666667</c:v>
                </c:pt>
                <c:pt idx="10">
                  <c:v>77.9297083333334</c:v>
                </c:pt>
                <c:pt idx="11">
                  <c:v>74.8201583333333</c:v>
                </c:pt>
                <c:pt idx="12">
                  <c:v>71.3989038888889</c:v>
                </c:pt>
                <c:pt idx="13">
                  <c:v>67.6660027777778</c:v>
                </c:pt>
                <c:pt idx="14">
                  <c:v>63.6214994444444</c:v>
                </c:pt>
                <c:pt idx="15">
                  <c:v>59.2654272222222</c:v>
                </c:pt>
                <c:pt idx="16">
                  <c:v>54.5978138888889</c:v>
                </c:pt>
                <c:pt idx="17">
                  <c:v>49.61868</c:v>
                </c:pt>
                <c:pt idx="18">
                  <c:v>44.3280433333333</c:v>
                </c:pt>
                <c:pt idx="19">
                  <c:v>38.7259177777778</c:v>
                </c:pt>
                <c:pt idx="20">
                  <c:v>32.85023</c:v>
                </c:pt>
                <c:pt idx="21">
                  <c:v>5.4798727777778</c:v>
                </c:pt>
                <c:pt idx="22">
                  <c:v>0</c:v>
                </c:pt>
                <c:pt idx="23">
                  <c:v>-3.93612024128111</c:v>
                </c:pt>
                <c:pt idx="24">
                  <c:v/>
                </c:pt>
                <c:pt idx="25">
                  <c:v/>
                </c:pt>
                <c:pt idx="26">
                  <c:v>-0.161508055335375</c:v>
                </c:pt>
                <c:pt idx="27">
                  <c:v>-0.174342994134548</c:v>
                </c:pt>
                <c:pt idx="28">
                  <c:v>-0.135007378960722</c:v>
                </c:pt>
                <c:pt idx="29">
                  <c:v>-0.115060593057578</c:v>
                </c:pt>
                <c:pt idx="30">
                  <c:v>-0.101624303091711</c:v>
                </c:pt>
                <c:pt idx="31">
                  <c:v>-0.0913507312853596</c:v>
                </c:pt>
                <c:pt idx="32">
                  <c:v>-0.0829176554163809</c:v>
                </c:pt>
                <c:pt idx="33">
                  <c:v>-0.0756722977068876</c:v>
                </c:pt>
                <c:pt idx="34">
                  <c:v>-0.0692441026013881</c:v>
                </c:pt>
                <c:pt idx="35">
                  <c:v>-0.0634064034331345</c:v>
                </c:pt>
                <c:pt idx="36">
                  <c:v>-0.0580097557578085</c:v>
                </c:pt>
                <c:pt idx="37">
                  <c:v>-0.0529530484642606</c:v>
                </c:pt>
                <c:pt idx="38">
                  <c:v/>
                </c:pt>
              </c:numCache>
            </c:numRef>
          </c:yVal>
        </c:ser>
        <c:ser>
          <c:idx val="2"/>
          <c:order val="2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Profile_20'!$C$14:$AO$14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Profile_20'!$C$17:$AO$17</c:f>
              <c:numCache>
                <c:formatCode>General</c:formatCode>
                <c:ptCount val="39"/>
                <c:pt idx="0">
                  <c:v>91.8954542592593</c:v>
                </c:pt>
                <c:pt idx="1">
                  <c:v>91.8047788888889</c:v>
                </c:pt>
                <c:pt idx="2">
                  <c:v>91.5327527777778</c:v>
                </c:pt>
                <c:pt idx="3">
                  <c:v>90.9299761111111</c:v>
                </c:pt>
                <c:pt idx="4">
                  <c:v>90.0093272222222</c:v>
                </c:pt>
                <c:pt idx="5">
                  <c:v>88.7741538888889</c:v>
                </c:pt>
                <c:pt idx="6">
                  <c:v>87.2257783333333</c:v>
                </c:pt>
                <c:pt idx="7">
                  <c:v>85.3648533333334</c:v>
                </c:pt>
                <c:pt idx="8">
                  <c:v>83.1917494444444</c:v>
                </c:pt>
                <c:pt idx="9">
                  <c:v>80.7066933333334</c:v>
                </c:pt>
                <c:pt idx="10">
                  <c:v>77.9098344444445</c:v>
                </c:pt>
                <c:pt idx="11">
                  <c:v>74.8012738888889</c:v>
                </c:pt>
                <c:pt idx="12">
                  <c:v>71.3810833333333</c:v>
                </c:pt>
                <c:pt idx="13">
                  <c:v>67.6493133333334</c:v>
                </c:pt>
                <c:pt idx="14">
                  <c:v>63.6060011111111</c:v>
                </c:pt>
                <c:pt idx="15">
                  <c:v>59.2511727777778</c:v>
                </c:pt>
                <c:pt idx="16">
                  <c:v>54.5848472222223</c:v>
                </c:pt>
                <c:pt idx="17">
                  <c:v>49.6070388888889</c:v>
                </c:pt>
                <c:pt idx="18">
                  <c:v>44.3177555555556</c:v>
                </c:pt>
                <c:pt idx="19">
                  <c:v>38.7170044444444</c:v>
                </c:pt>
                <c:pt idx="20">
                  <c:v>32.8426933333333</c:v>
                </c:pt>
                <c:pt idx="21">
                  <c:v>5.47858944444442</c:v>
                </c:pt>
                <c:pt idx="22">
                  <c:v>0</c:v>
                </c:pt>
                <c:pt idx="23">
                  <c:v>-3.93496746350334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Profile_20'!$C$14:$AO$14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Profile_20'!$C$17:$AO$17</c:f>
              <c:numCache>
                <c:formatCode>General</c:formatCode>
                <c:ptCount val="39"/>
                <c:pt idx="0">
                  <c:v>91.8954542592593</c:v>
                </c:pt>
                <c:pt idx="1">
                  <c:v>91.8047788888889</c:v>
                </c:pt>
                <c:pt idx="2">
                  <c:v>91.5327527777778</c:v>
                </c:pt>
                <c:pt idx="3">
                  <c:v>90.9299761111111</c:v>
                </c:pt>
                <c:pt idx="4">
                  <c:v>90.0093272222222</c:v>
                </c:pt>
                <c:pt idx="5">
                  <c:v>88.7741538888889</c:v>
                </c:pt>
                <c:pt idx="6">
                  <c:v>87.2257783333333</c:v>
                </c:pt>
                <c:pt idx="7">
                  <c:v>85.3648533333334</c:v>
                </c:pt>
                <c:pt idx="8">
                  <c:v>83.1917494444444</c:v>
                </c:pt>
                <c:pt idx="9">
                  <c:v>80.7066933333334</c:v>
                </c:pt>
                <c:pt idx="10">
                  <c:v>77.9098344444445</c:v>
                </c:pt>
                <c:pt idx="11">
                  <c:v>74.8012738888889</c:v>
                </c:pt>
                <c:pt idx="12">
                  <c:v>71.3810833333333</c:v>
                </c:pt>
                <c:pt idx="13">
                  <c:v>67.6493133333334</c:v>
                </c:pt>
                <c:pt idx="14">
                  <c:v>63.6060011111111</c:v>
                </c:pt>
                <c:pt idx="15">
                  <c:v>59.2511727777778</c:v>
                </c:pt>
                <c:pt idx="16">
                  <c:v>54.5848472222223</c:v>
                </c:pt>
                <c:pt idx="17">
                  <c:v>49.6070388888889</c:v>
                </c:pt>
                <c:pt idx="18">
                  <c:v>44.3177555555556</c:v>
                </c:pt>
                <c:pt idx="19">
                  <c:v>38.7170044444444</c:v>
                </c:pt>
                <c:pt idx="20">
                  <c:v>32.8426933333333</c:v>
                </c:pt>
                <c:pt idx="21">
                  <c:v>5.47858944444442</c:v>
                </c:pt>
                <c:pt idx="22">
                  <c:v>0</c:v>
                </c:pt>
                <c:pt idx="23">
                  <c:v>-3.93496746350334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29284779"/>
        <c:axId val="17811186"/>
      </c:scatterChart>
      <c:valAx>
        <c:axId val="29284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811186"/>
        <c:crossesAt val="0"/>
      </c:valAx>
      <c:valAx>
        <c:axId val="17811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8477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Profile_20'!$AB$24:$AB$24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5"/>
          </c:marker>
          <c:xVal>
            <c:numRef>
              <c:f>'SS Rod Radial Profile_20'!$D$14:$M$14</c:f>
              <c:numCache>
                <c:formatCode>General</c:formatCode>
                <c:ptCount val="10"/>
                <c:pt idx="0">
                  <c:v>0.014852868593539</c:v>
                </c:pt>
                <c:pt idx="1">
                  <c:v>0.0332120238360248</c:v>
                </c:pt>
                <c:pt idx="2">
                  <c:v>0.0535527793017334</c:v>
                </c:pt>
                <c:pt idx="3">
                  <c:v>0.0742643429676947</c:v>
                </c:pt>
                <c:pt idx="4">
                  <c:v>0.0951047628866946</c:v>
                </c:pt>
                <c:pt idx="5">
                  <c:v>0.116004612118972</c:v>
                </c:pt>
                <c:pt idx="6">
                  <c:v>0.136936682316462</c:v>
                </c:pt>
                <c:pt idx="7">
                  <c:v>0.157888158886706</c:v>
                </c:pt>
                <c:pt idx="8">
                  <c:v>0.178852221935473</c:v>
                </c:pt>
                <c:pt idx="9">
                  <c:v>0.199824910078062</c:v>
                </c:pt>
              </c:numCache>
            </c:numRef>
          </c:xVal>
          <c:yVal>
            <c:numRef>
              <c:f>'SS Rod Radial Profile_20'!$AC$24:$AM$24</c:f>
              <c:numCache>
                <c:formatCode>General</c:formatCode>
                <c:ptCount val="11"/>
                <c:pt idx="0">
                  <c:v>-0.000418260669728747</c:v>
                </c:pt>
                <c:pt idx="1">
                  <c:v>-0.000451604068407228</c:v>
                </c:pt>
                <c:pt idx="2">
                  <c:v>-0.00035046066287215</c:v>
                </c:pt>
                <c:pt idx="3">
                  <c:v>-0.000299893903625532</c:v>
                </c:pt>
                <c:pt idx="4">
                  <c:v>-0.000266563888710939</c:v>
                </c:pt>
                <c:pt idx="5">
                  <c:v>-0.000241780176713933</c:v>
                </c:pt>
                <c:pt idx="6">
                  <c:v>-0.000222101919252402</c:v>
                </c:pt>
                <c:pt idx="7">
                  <c:v>-0.000205812556199593</c:v>
                </c:pt>
                <c:pt idx="8">
                  <c:v>-0.000191934831358521</c:v>
                </c:pt>
                <c:pt idx="9">
                  <c:v>-0.000179858051601533</c:v>
                </c:pt>
                <c:pt idx="10">
                  <c:v>-0.000169175334095253</c:v>
                </c:pt>
              </c:numCache>
            </c:numRef>
          </c:yVal>
        </c:ser>
        <c:ser>
          <c:idx val="1"/>
          <c:order val="1"/>
          <c:tx>
            <c:strRef>
              <c:f>'SS Rod Radial Profile_20'!$AB$25:$AB$25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5"/>
          </c:marker>
          <c:xVal>
            <c:numRef>
              <c:f>'SS Rod Radial Profile_20'!$D$14:$M$14</c:f>
              <c:numCache>
                <c:formatCode>General</c:formatCode>
                <c:ptCount val="10"/>
                <c:pt idx="0">
                  <c:v>0.014852868593539</c:v>
                </c:pt>
                <c:pt idx="1">
                  <c:v>0.0332120238360248</c:v>
                </c:pt>
                <c:pt idx="2">
                  <c:v>0.0535527793017334</c:v>
                </c:pt>
                <c:pt idx="3">
                  <c:v>0.0742643429676947</c:v>
                </c:pt>
                <c:pt idx="4">
                  <c:v>0.0951047628866946</c:v>
                </c:pt>
                <c:pt idx="5">
                  <c:v>0.116004612118972</c:v>
                </c:pt>
                <c:pt idx="6">
                  <c:v>0.136936682316462</c:v>
                </c:pt>
                <c:pt idx="7">
                  <c:v>0.157888158886706</c:v>
                </c:pt>
                <c:pt idx="8">
                  <c:v>0.178852221935473</c:v>
                </c:pt>
                <c:pt idx="9">
                  <c:v>0.199824910078062</c:v>
                </c:pt>
              </c:numCache>
            </c:numRef>
          </c:xVal>
          <c:yVal>
            <c:numRef>
              <c:f>'SS Rod Radial Profile_20'!$AC$25:$AM$25</c:f>
              <c:numCache>
                <c:formatCode>General</c:formatCode>
                <c:ptCount val="11"/>
                <c:pt idx="0">
                  <c:v>-0.00048482495612617</c:v>
                </c:pt>
                <c:pt idx="1">
                  <c:v>-0.000518098459236882</c:v>
                </c:pt>
                <c:pt idx="2">
                  <c:v>-0.000416758545540178</c:v>
                </c:pt>
                <c:pt idx="3">
                  <c:v>-0.000365747436805242</c:v>
                </c:pt>
                <c:pt idx="4">
                  <c:v>-0.000331735937204586</c:v>
                </c:pt>
                <c:pt idx="5">
                  <c:v>-0.000306041796268822</c:v>
                </c:pt>
                <c:pt idx="6">
                  <c:v>-0.000285224063143964</c:v>
                </c:pt>
                <c:pt idx="7">
                  <c:v>-0.000267575173541398</c:v>
                </c:pt>
                <c:pt idx="8">
                  <c:v>-0.000252118597383118</c:v>
                </c:pt>
                <c:pt idx="9">
                  <c:v>-0.000238250686894885</c:v>
                </c:pt>
                <c:pt idx="10">
                  <c:v>-0.000225567737563406</c:v>
                </c:pt>
              </c:numCache>
            </c:numRef>
          </c:yVal>
        </c:ser>
        <c:ser>
          <c:idx val="2"/>
          <c:order val="2"/>
          <c:tx>
            <c:strRef>
              <c:f>'SS Rod Radial Profile_20'!$AB$26:$AB$26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'SS Rod Radial Profile_20'!$D$14:$M$14</c:f>
              <c:numCache>
                <c:formatCode>General</c:formatCode>
                <c:ptCount val="10"/>
                <c:pt idx="0">
                  <c:v>0.014852868593539</c:v>
                </c:pt>
                <c:pt idx="1">
                  <c:v>0.0332120238360248</c:v>
                </c:pt>
                <c:pt idx="2">
                  <c:v>0.0535527793017334</c:v>
                </c:pt>
                <c:pt idx="3">
                  <c:v>0.0742643429676947</c:v>
                </c:pt>
                <c:pt idx="4">
                  <c:v>0.0951047628866946</c:v>
                </c:pt>
                <c:pt idx="5">
                  <c:v>0.116004612118972</c:v>
                </c:pt>
                <c:pt idx="6">
                  <c:v>0.136936682316462</c:v>
                </c:pt>
                <c:pt idx="7">
                  <c:v>0.157888158886706</c:v>
                </c:pt>
                <c:pt idx="8">
                  <c:v>0.178852221935473</c:v>
                </c:pt>
                <c:pt idx="9">
                  <c:v>0.199824910078062</c:v>
                </c:pt>
              </c:numCache>
            </c:numRef>
          </c:xVal>
          <c:yVal>
            <c:numRef>
              <c:f>'SS Rod Radial Profile_20'!$AC$26:$AM$26</c:f>
              <c:numCache>
                <c:formatCode>General</c:formatCode>
                <c:ptCount val="11"/>
                <c:pt idx="0">
                  <c:v>-0.00048482495612617</c:v>
                </c:pt>
                <c:pt idx="1">
                  <c:v>-0.000518098459236882</c:v>
                </c:pt>
                <c:pt idx="2">
                  <c:v>-0.000416758545540178</c:v>
                </c:pt>
                <c:pt idx="3">
                  <c:v>-0.000365747436805242</c:v>
                </c:pt>
                <c:pt idx="4">
                  <c:v>-0.000331735937204586</c:v>
                </c:pt>
                <c:pt idx="5">
                  <c:v>-0.000306041796268822</c:v>
                </c:pt>
                <c:pt idx="6">
                  <c:v>-0.000285224063143964</c:v>
                </c:pt>
                <c:pt idx="7">
                  <c:v>-0.000267575173541398</c:v>
                </c:pt>
                <c:pt idx="8">
                  <c:v>-0.000252118597383118</c:v>
                </c:pt>
                <c:pt idx="9">
                  <c:v>-0.000238250686894885</c:v>
                </c:pt>
                <c:pt idx="10">
                  <c:v>-0.000225567737563406</c:v>
                </c:pt>
              </c:numCache>
            </c:numRef>
          </c:yVal>
        </c:ser>
        <c:axId val="74573407"/>
        <c:axId val="12528937"/>
      </c:scatterChart>
      <c:valAx>
        <c:axId val="74573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528937"/>
        <c:crossesAt val="0"/>
      </c:valAx>
      <c:valAx>
        <c:axId val="125289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57340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Temperature Profile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Profile_20'!$B$23:$B$23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xVal>
            <c:numRef>
              <c:f>'SS Rod Radial Profile_20'!$C$22:$AO$22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Profile_20'!$C$23:$AO$23</c:f>
              <c:numCache>
                <c:formatCode>General</c:formatCode>
                <c:ptCount val="39"/>
                <c:pt idx="0">
                  <c:v>386.952577970341</c:v>
                </c:pt>
                <c:pt idx="1">
                  <c:v>386.87473753877</c:v>
                </c:pt>
                <c:pt idx="2">
                  <c:v>386.563375812485</c:v>
                </c:pt>
                <c:pt idx="3">
                  <c:v>385.940652359915</c:v>
                </c:pt>
                <c:pt idx="4">
                  <c:v>385.00656718106</c:v>
                </c:pt>
                <c:pt idx="5">
                  <c:v>383.761120275921</c:v>
                </c:pt>
                <c:pt idx="6">
                  <c:v>382.204311644496</c:v>
                </c:pt>
                <c:pt idx="7">
                  <c:v>380.336141286787</c:v>
                </c:pt>
                <c:pt idx="8">
                  <c:v>378.156609202792</c:v>
                </c:pt>
                <c:pt idx="9">
                  <c:v>375.665715392513</c:v>
                </c:pt>
                <c:pt idx="10">
                  <c:v>372.863459855949</c:v>
                </c:pt>
                <c:pt idx="11">
                  <c:v>369.7498425931</c:v>
                </c:pt>
                <c:pt idx="12">
                  <c:v>366.324863603966</c:v>
                </c:pt>
                <c:pt idx="13">
                  <c:v>362.588522888547</c:v>
                </c:pt>
                <c:pt idx="14">
                  <c:v>358.540820446843</c:v>
                </c:pt>
                <c:pt idx="15">
                  <c:v>354.181756278854</c:v>
                </c:pt>
                <c:pt idx="16">
                  <c:v>349.51133038458</c:v>
                </c:pt>
                <c:pt idx="17">
                  <c:v>344.529542764022</c:v>
                </c:pt>
                <c:pt idx="18">
                  <c:v>339.236393417178</c:v>
                </c:pt>
                <c:pt idx="19">
                  <c:v>333.631882344049</c:v>
                </c:pt>
                <c:pt idx="20">
                  <c:v>327.754929760422</c:v>
                </c:pt>
                <c:pt idx="21">
                  <c:v>300.383225357136</c:v>
                </c:pt>
                <c:pt idx="22">
                  <c:v>294.895615655746</c:v>
                </c:pt>
                <c:pt idx="23">
                  <c:v>290.934551980941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'SS Rod Radial Profile_20'!$B$24:$B$24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Profile_20'!$C$22:$AO$22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Profile_20'!$C$24:$AO$24</c:f>
              <c:numCache>
                <c:formatCode>General</c:formatCode>
                <c:ptCount val="39"/>
                <c:pt idx="0">
                  <c:v>386.790730925926</c:v>
                </c:pt>
                <c:pt idx="1">
                  <c:v>386.700023333333</c:v>
                </c:pt>
                <c:pt idx="2">
                  <c:v>386.427900555556</c:v>
                </c:pt>
                <c:pt idx="3">
                  <c:v>385.824911111111</c:v>
                </c:pt>
                <c:pt idx="4">
                  <c:v>384.903938333333</c:v>
                </c:pt>
                <c:pt idx="5">
                  <c:v>383.668334444444</c:v>
                </c:pt>
                <c:pt idx="6">
                  <c:v>382.119423333333</c:v>
                </c:pt>
                <c:pt idx="7">
                  <c:v>380.257863333333</c:v>
                </c:pt>
                <c:pt idx="8">
                  <c:v>378.084027777778</c:v>
                </c:pt>
                <c:pt idx="9">
                  <c:v>375.598148888889</c:v>
                </c:pt>
                <c:pt idx="10">
                  <c:v>372.800380555556</c:v>
                </c:pt>
                <c:pt idx="11">
                  <c:v>369.690830555556</c:v>
                </c:pt>
                <c:pt idx="12">
                  <c:v>366.269576111111</c:v>
                </c:pt>
                <c:pt idx="13">
                  <c:v>362.536675</c:v>
                </c:pt>
                <c:pt idx="14">
                  <c:v>358.492171666667</c:v>
                </c:pt>
                <c:pt idx="15">
                  <c:v>354.136099444444</c:v>
                </c:pt>
                <c:pt idx="16">
                  <c:v>349.468486111111</c:v>
                </c:pt>
                <c:pt idx="17">
                  <c:v>344.489352222222</c:v>
                </c:pt>
                <c:pt idx="18">
                  <c:v>339.198715555556</c:v>
                </c:pt>
                <c:pt idx="19">
                  <c:v>333.59659</c:v>
                </c:pt>
                <c:pt idx="20">
                  <c:v>327.720902222222</c:v>
                </c:pt>
                <c:pt idx="21">
                  <c:v>300.350545</c:v>
                </c:pt>
                <c:pt idx="22">
                  <c:v>294.870672222222</c:v>
                </c:pt>
                <c:pt idx="23">
                  <c:v>290.934551980941</c:v>
                </c:pt>
                <c:pt idx="24">
                  <c:v/>
                </c:pt>
                <c:pt idx="25">
                  <c:v/>
                </c:pt>
                <c:pt idx="26">
                  <c:v>-0.000418260669728747</c:v>
                </c:pt>
                <c:pt idx="27">
                  <c:v>-0.000451604068407228</c:v>
                </c:pt>
                <c:pt idx="28">
                  <c:v>-0.00035046066287215</c:v>
                </c:pt>
                <c:pt idx="29">
                  <c:v>-0.000299893903625532</c:v>
                </c:pt>
                <c:pt idx="30">
                  <c:v>-0.000266563888710939</c:v>
                </c:pt>
                <c:pt idx="31">
                  <c:v>-0.000241780176713933</c:v>
                </c:pt>
                <c:pt idx="32">
                  <c:v>-0.000222101919252402</c:v>
                </c:pt>
                <c:pt idx="33">
                  <c:v>-0.000205812556199593</c:v>
                </c:pt>
                <c:pt idx="34">
                  <c:v>-0.000191934831358521</c:v>
                </c:pt>
                <c:pt idx="35">
                  <c:v>-0.000179858051601533</c:v>
                </c:pt>
                <c:pt idx="36">
                  <c:v>-0.000169175334095253</c:v>
                </c:pt>
                <c:pt idx="37">
                  <c:v>-0.000159599899029396</c:v>
                </c:pt>
                <c:pt idx="38">
                  <c:v>-0.000150924762000646</c:v>
                </c:pt>
              </c:numCache>
            </c:numRef>
          </c:yVal>
        </c:ser>
        <c:ser>
          <c:idx val="2"/>
          <c:order val="2"/>
          <c:tx>
            <c:strRef>
              <c:f>'SS Rod Radial Profile_20'!$B$26:$B$26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Profile_20'!$C$22:$AO$22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Profile_20'!$C$26:$AO$26</c:f>
              <c:numCache>
                <c:formatCode>General</c:formatCode>
                <c:ptCount val="39"/>
                <c:pt idx="0">
                  <c:v>386.764973703704</c:v>
                </c:pt>
                <c:pt idx="1">
                  <c:v>386.674298333333</c:v>
                </c:pt>
                <c:pt idx="2">
                  <c:v>386.402272222222</c:v>
                </c:pt>
                <c:pt idx="3">
                  <c:v>385.799495555556</c:v>
                </c:pt>
                <c:pt idx="4">
                  <c:v>384.878846666667</c:v>
                </c:pt>
                <c:pt idx="5">
                  <c:v>383.643673333333</c:v>
                </c:pt>
                <c:pt idx="6">
                  <c:v>382.095297777778</c:v>
                </c:pt>
                <c:pt idx="7">
                  <c:v>380.234372777778</c:v>
                </c:pt>
                <c:pt idx="8">
                  <c:v>378.061268888889</c:v>
                </c:pt>
                <c:pt idx="9">
                  <c:v>375.576212777778</c:v>
                </c:pt>
                <c:pt idx="10">
                  <c:v>372.779353888889</c:v>
                </c:pt>
                <c:pt idx="11">
                  <c:v>369.670793333333</c:v>
                </c:pt>
                <c:pt idx="12">
                  <c:v>366.250602777778</c:v>
                </c:pt>
                <c:pt idx="13">
                  <c:v>362.518832777778</c:v>
                </c:pt>
                <c:pt idx="14">
                  <c:v>358.475520555556</c:v>
                </c:pt>
                <c:pt idx="15">
                  <c:v>354.120692222222</c:v>
                </c:pt>
                <c:pt idx="16">
                  <c:v>349.454366666667</c:v>
                </c:pt>
                <c:pt idx="17">
                  <c:v>344.476558333333</c:v>
                </c:pt>
                <c:pt idx="18">
                  <c:v>339.187275</c:v>
                </c:pt>
                <c:pt idx="19">
                  <c:v>333.586523888889</c:v>
                </c:pt>
                <c:pt idx="20">
                  <c:v>327.712212777778</c:v>
                </c:pt>
                <c:pt idx="21">
                  <c:v>300.348108888889</c:v>
                </c:pt>
                <c:pt idx="22">
                  <c:v>294.869519444444</c:v>
                </c:pt>
                <c:pt idx="23">
                  <c:v>290.934551980941</c:v>
                </c:pt>
                <c:pt idx="24">
                  <c:v/>
                </c:pt>
                <c:pt idx="25">
                  <c:v/>
                </c:pt>
                <c:pt idx="26">
                  <c:v>-0.00048482495612617</c:v>
                </c:pt>
                <c:pt idx="27">
                  <c:v>-0.000518098459236882</c:v>
                </c:pt>
                <c:pt idx="28">
                  <c:v>-0.000416758545540178</c:v>
                </c:pt>
                <c:pt idx="29">
                  <c:v>-0.000365747436805242</c:v>
                </c:pt>
                <c:pt idx="30">
                  <c:v>-0.000331735937204586</c:v>
                </c:pt>
                <c:pt idx="31">
                  <c:v>-0.000306041796268822</c:v>
                </c:pt>
                <c:pt idx="32">
                  <c:v>-0.000285224063143964</c:v>
                </c:pt>
                <c:pt idx="33">
                  <c:v>-0.000267575173541398</c:v>
                </c:pt>
                <c:pt idx="34">
                  <c:v>-0.000252118597383118</c:v>
                </c:pt>
                <c:pt idx="35">
                  <c:v>-0.000238250686894885</c:v>
                </c:pt>
                <c:pt idx="36">
                  <c:v>-0.000225567737563406</c:v>
                </c:pt>
                <c:pt idx="37">
                  <c:v>-0.000213791192477202</c:v>
                </c:pt>
                <c:pt idx="38">
                  <c:v>-0.000202718498158064</c:v>
                </c:pt>
              </c:numCache>
            </c:numRef>
          </c:yVal>
        </c:ser>
        <c:axId val="32057391"/>
        <c:axId val="24810024"/>
      </c:scatterChart>
      <c:valAx>
        <c:axId val="32057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810024"/>
        <c:crossesAt val="0"/>
      </c:valAx>
      <c:valAx>
        <c:axId val="24810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05739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5"/>
          </c:marker>
          <c:xVal>
            <c:numRef>
              <c:f>'SS Rod Radial Profile_20'!$C$14:$AO$14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Profile_20'!$C$15:$AO$15</c:f>
              <c:numCache>
                <c:formatCode>General</c:formatCode>
                <c:ptCount val="39"/>
                <c:pt idx="0">
                  <c:v>92.0569623145947</c:v>
                </c:pt>
                <c:pt idx="1">
                  <c:v>91.9791218830234</c:v>
                </c:pt>
                <c:pt idx="2">
                  <c:v>91.6677601567385</c:v>
                </c:pt>
                <c:pt idx="3">
                  <c:v>91.0450367041687</c:v>
                </c:pt>
                <c:pt idx="4">
                  <c:v>90.110951525314</c:v>
                </c:pt>
                <c:pt idx="5">
                  <c:v>88.8655046201743</c:v>
                </c:pt>
                <c:pt idx="6">
                  <c:v>87.3086959887497</c:v>
                </c:pt>
                <c:pt idx="7">
                  <c:v>85.4405256310402</c:v>
                </c:pt>
                <c:pt idx="8">
                  <c:v>83.2609935470458</c:v>
                </c:pt>
                <c:pt idx="9">
                  <c:v>80.7700997367665</c:v>
                </c:pt>
                <c:pt idx="10">
                  <c:v>77.9678442002023</c:v>
                </c:pt>
                <c:pt idx="11">
                  <c:v>74.8542269373531</c:v>
                </c:pt>
                <c:pt idx="12">
                  <c:v>71.4292479482191</c:v>
                </c:pt>
                <c:pt idx="13">
                  <c:v>67.6929072328001</c:v>
                </c:pt>
                <c:pt idx="14">
                  <c:v>63.6452047910962</c:v>
                </c:pt>
                <c:pt idx="15">
                  <c:v>59.2861406231074</c:v>
                </c:pt>
                <c:pt idx="16">
                  <c:v>54.6157147288339</c:v>
                </c:pt>
                <c:pt idx="17">
                  <c:v>49.6339271082753</c:v>
                </c:pt>
                <c:pt idx="18">
                  <c:v>44.3407777614311</c:v>
                </c:pt>
                <c:pt idx="19">
                  <c:v>38.736266688303</c:v>
                </c:pt>
                <c:pt idx="20">
                  <c:v>32.8593141046753</c:v>
                </c:pt>
                <c:pt idx="21">
                  <c:v>5.4876097013893</c:v>
                </c:pt>
                <c:pt idx="22">
                  <c:v>0</c:v>
                </c:pt>
                <c:pt idx="23">
                  <c:v>-3.96106367480532</c:v>
                </c:pt>
                <c:pt idx="24">
                  <c:v/>
                </c:pt>
                <c:pt idx="25">
                  <c:v/>
                </c:pt>
                <c:pt idx="26">
                  <c:v>-0.136903610890954</c:v>
                </c:pt>
                <c:pt idx="27">
                  <c:v>-0.14977077191233</c:v>
                </c:pt>
                <c:pt idx="28">
                  <c:v>-0.110531823405182</c:v>
                </c:pt>
                <c:pt idx="29">
                  <c:v>-0.0907978152797995</c:v>
                </c:pt>
                <c:pt idx="30">
                  <c:v>-0.0776854142028185</c:v>
                </c:pt>
                <c:pt idx="31">
                  <c:v>-0.067842397952063</c:v>
                </c:pt>
                <c:pt idx="32">
                  <c:v>-0.0599448776385572</c:v>
                </c:pt>
                <c:pt idx="33">
                  <c:v>-0.0533345199290949</c:v>
                </c:pt>
                <c:pt idx="34">
                  <c:v>-0.0476379914902481</c:v>
                </c:pt>
                <c:pt idx="35">
                  <c:v>-0.0426230700997934</c:v>
                </c:pt>
                <c:pt idx="36">
                  <c:v>-0.0381358668688847</c:v>
                </c:pt>
                <c:pt idx="37">
                  <c:v>-0.0340686040198079</c:v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'SS Rod Radial Profile_20'!$B$16:$B$16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Profile_20'!$C$14:$AO$14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Profile_20'!$C$16:$AO$16</c:f>
              <c:numCache>
                <c:formatCode>General</c:formatCode>
                <c:ptCount val="39"/>
                <c:pt idx="0">
                  <c:v>91.9200587037037</c:v>
                </c:pt>
                <c:pt idx="1">
                  <c:v>91.8293511111111</c:v>
                </c:pt>
                <c:pt idx="2">
                  <c:v>91.5572283333333</c:v>
                </c:pt>
                <c:pt idx="3">
                  <c:v>90.9542388888889</c:v>
                </c:pt>
                <c:pt idx="4">
                  <c:v>90.0332661111111</c:v>
                </c:pt>
                <c:pt idx="5">
                  <c:v>88.7976622222222</c:v>
                </c:pt>
                <c:pt idx="6">
                  <c:v>87.2487511111111</c:v>
                </c:pt>
                <c:pt idx="7">
                  <c:v>85.3871911111111</c:v>
                </c:pt>
                <c:pt idx="8">
                  <c:v>83.2133555555556</c:v>
                </c:pt>
                <c:pt idx="9">
                  <c:v>80.7274766666667</c:v>
                </c:pt>
                <c:pt idx="10">
                  <c:v>77.9297083333334</c:v>
                </c:pt>
                <c:pt idx="11">
                  <c:v>74.8201583333333</c:v>
                </c:pt>
                <c:pt idx="12">
                  <c:v>71.3989038888889</c:v>
                </c:pt>
                <c:pt idx="13">
                  <c:v>67.6660027777778</c:v>
                </c:pt>
                <c:pt idx="14">
                  <c:v>63.6214994444444</c:v>
                </c:pt>
                <c:pt idx="15">
                  <c:v>59.2654272222222</c:v>
                </c:pt>
                <c:pt idx="16">
                  <c:v>54.5978138888889</c:v>
                </c:pt>
                <c:pt idx="17">
                  <c:v>49.61868</c:v>
                </c:pt>
                <c:pt idx="18">
                  <c:v>44.3280433333333</c:v>
                </c:pt>
                <c:pt idx="19">
                  <c:v>38.7259177777778</c:v>
                </c:pt>
                <c:pt idx="20">
                  <c:v>32.85023</c:v>
                </c:pt>
                <c:pt idx="21">
                  <c:v>5.4798727777778</c:v>
                </c:pt>
                <c:pt idx="22">
                  <c:v>0</c:v>
                </c:pt>
                <c:pt idx="23">
                  <c:v>-3.93612024128111</c:v>
                </c:pt>
                <c:pt idx="24">
                  <c:v/>
                </c:pt>
                <c:pt idx="25">
                  <c:v/>
                </c:pt>
                <c:pt idx="26">
                  <c:v>-0.161508055335375</c:v>
                </c:pt>
                <c:pt idx="27">
                  <c:v>-0.174342994134548</c:v>
                </c:pt>
                <c:pt idx="28">
                  <c:v>-0.135007378960722</c:v>
                </c:pt>
                <c:pt idx="29">
                  <c:v>-0.115060593057578</c:v>
                </c:pt>
                <c:pt idx="30">
                  <c:v>-0.101624303091711</c:v>
                </c:pt>
                <c:pt idx="31">
                  <c:v>-0.0913507312853596</c:v>
                </c:pt>
                <c:pt idx="32">
                  <c:v>-0.0829176554163809</c:v>
                </c:pt>
                <c:pt idx="33">
                  <c:v>-0.0756722977068876</c:v>
                </c:pt>
                <c:pt idx="34">
                  <c:v>-0.0692441026013881</c:v>
                </c:pt>
                <c:pt idx="35">
                  <c:v>-0.0634064034331345</c:v>
                </c:pt>
                <c:pt idx="36">
                  <c:v>-0.0580097557578085</c:v>
                </c:pt>
                <c:pt idx="37">
                  <c:v>-0.0529530484642606</c:v>
                </c:pt>
                <c:pt idx="38">
                  <c:v/>
                </c:pt>
              </c:numCache>
            </c:numRef>
          </c:yVal>
        </c:ser>
        <c:ser>
          <c:idx val="2"/>
          <c:order val="2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Profile_20'!$C$14:$AO$14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Profile_20'!$C$17:$AO$17</c:f>
              <c:numCache>
                <c:formatCode>General</c:formatCode>
                <c:ptCount val="39"/>
                <c:pt idx="0">
                  <c:v>91.8954542592593</c:v>
                </c:pt>
                <c:pt idx="1">
                  <c:v>91.8047788888889</c:v>
                </c:pt>
                <c:pt idx="2">
                  <c:v>91.5327527777778</c:v>
                </c:pt>
                <c:pt idx="3">
                  <c:v>90.9299761111111</c:v>
                </c:pt>
                <c:pt idx="4">
                  <c:v>90.0093272222222</c:v>
                </c:pt>
                <c:pt idx="5">
                  <c:v>88.7741538888889</c:v>
                </c:pt>
                <c:pt idx="6">
                  <c:v>87.2257783333333</c:v>
                </c:pt>
                <c:pt idx="7">
                  <c:v>85.3648533333334</c:v>
                </c:pt>
                <c:pt idx="8">
                  <c:v>83.1917494444444</c:v>
                </c:pt>
                <c:pt idx="9">
                  <c:v>80.7066933333334</c:v>
                </c:pt>
                <c:pt idx="10">
                  <c:v>77.9098344444445</c:v>
                </c:pt>
                <c:pt idx="11">
                  <c:v>74.8012738888889</c:v>
                </c:pt>
                <c:pt idx="12">
                  <c:v>71.3810833333333</c:v>
                </c:pt>
                <c:pt idx="13">
                  <c:v>67.6493133333334</c:v>
                </c:pt>
                <c:pt idx="14">
                  <c:v>63.6060011111111</c:v>
                </c:pt>
                <c:pt idx="15">
                  <c:v>59.2511727777778</c:v>
                </c:pt>
                <c:pt idx="16">
                  <c:v>54.5848472222223</c:v>
                </c:pt>
                <c:pt idx="17">
                  <c:v>49.6070388888889</c:v>
                </c:pt>
                <c:pt idx="18">
                  <c:v>44.3177555555556</c:v>
                </c:pt>
                <c:pt idx="19">
                  <c:v>38.7170044444444</c:v>
                </c:pt>
                <c:pt idx="20">
                  <c:v>32.8426933333333</c:v>
                </c:pt>
                <c:pt idx="21">
                  <c:v>5.47858944444442</c:v>
                </c:pt>
                <c:pt idx="22">
                  <c:v>0</c:v>
                </c:pt>
                <c:pt idx="23">
                  <c:v>-3.93496746350334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'SS Rod Radial Profile_20'!$C$14:$AO$14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Profile_20'!$C$17:$AO$17</c:f>
              <c:numCache>
                <c:formatCode>General</c:formatCode>
                <c:ptCount val="39"/>
                <c:pt idx="0">
                  <c:v>91.8954542592593</c:v>
                </c:pt>
                <c:pt idx="1">
                  <c:v>91.8047788888889</c:v>
                </c:pt>
                <c:pt idx="2">
                  <c:v>91.5327527777778</c:v>
                </c:pt>
                <c:pt idx="3">
                  <c:v>90.9299761111111</c:v>
                </c:pt>
                <c:pt idx="4">
                  <c:v>90.0093272222222</c:v>
                </c:pt>
                <c:pt idx="5">
                  <c:v>88.7741538888889</c:v>
                </c:pt>
                <c:pt idx="6">
                  <c:v>87.2257783333333</c:v>
                </c:pt>
                <c:pt idx="7">
                  <c:v>85.3648533333334</c:v>
                </c:pt>
                <c:pt idx="8">
                  <c:v>83.1917494444444</c:v>
                </c:pt>
                <c:pt idx="9">
                  <c:v>80.7066933333334</c:v>
                </c:pt>
                <c:pt idx="10">
                  <c:v>77.9098344444445</c:v>
                </c:pt>
                <c:pt idx="11">
                  <c:v>74.8012738888889</c:v>
                </c:pt>
                <c:pt idx="12">
                  <c:v>71.3810833333333</c:v>
                </c:pt>
                <c:pt idx="13">
                  <c:v>67.6493133333334</c:v>
                </c:pt>
                <c:pt idx="14">
                  <c:v>63.6060011111111</c:v>
                </c:pt>
                <c:pt idx="15">
                  <c:v>59.2511727777778</c:v>
                </c:pt>
                <c:pt idx="16">
                  <c:v>54.5848472222223</c:v>
                </c:pt>
                <c:pt idx="17">
                  <c:v>49.6070388888889</c:v>
                </c:pt>
                <c:pt idx="18">
                  <c:v>44.3177555555556</c:v>
                </c:pt>
                <c:pt idx="19">
                  <c:v>38.7170044444444</c:v>
                </c:pt>
                <c:pt idx="20">
                  <c:v>32.8426933333333</c:v>
                </c:pt>
                <c:pt idx="21">
                  <c:v>5.47858944444442</c:v>
                </c:pt>
                <c:pt idx="22">
                  <c:v>0</c:v>
                </c:pt>
                <c:pt idx="23">
                  <c:v>-3.93496746350334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20180613"/>
        <c:axId val="29879727"/>
      </c:scatterChart>
      <c:valAx>
        <c:axId val="2018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79727"/>
        <c:crossesAt val="0"/>
      </c:valAx>
      <c:valAx>
        <c:axId val="298797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18061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Profile_20'!$AB$15:$AB$15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5"/>
          </c:marker>
          <c:xVal>
            <c:numRef>
              <c:f>'SS Rod Radial Profile_20'!$C$14:$M$14</c:f>
              <c:numCache>
                <c:formatCode>General</c:formatCode>
                <c:ptCount val="11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</c:numCache>
            </c:numRef>
          </c:xVal>
          <c:yVal>
            <c:numRef>
              <c:f>'SS Rod Radial Profile_20'!$R$15:$AD$15</c:f>
              <c:numCache>
                <c:formatCode>General</c:formatCode>
                <c:ptCount val="13"/>
                <c:pt idx="0">
                  <c:v>59.2861406231074</c:v>
                </c:pt>
                <c:pt idx="1">
                  <c:v>54.6157147288339</c:v>
                </c:pt>
                <c:pt idx="2">
                  <c:v>49.6339271082753</c:v>
                </c:pt>
                <c:pt idx="3">
                  <c:v>44.3407777614311</c:v>
                </c:pt>
                <c:pt idx="4">
                  <c:v>38.736266688303</c:v>
                </c:pt>
                <c:pt idx="5">
                  <c:v>32.8593141046753</c:v>
                </c:pt>
                <c:pt idx="6">
                  <c:v>5.4876097013893</c:v>
                </c:pt>
                <c:pt idx="7">
                  <c:v>0</c:v>
                </c:pt>
                <c:pt idx="8">
                  <c:v>-3.96106367480532</c:v>
                </c:pt>
                <c:pt idx="9">
                  <c:v/>
                </c:pt>
                <c:pt idx="10">
                  <c:v/>
                </c:pt>
                <c:pt idx="11">
                  <c:v>-0.136903610890954</c:v>
                </c:pt>
                <c:pt idx="12">
                  <c:v>-0.14977077191233</c:v>
                </c:pt>
              </c:numCache>
            </c:numRef>
          </c:yVal>
        </c:ser>
        <c:ser>
          <c:idx val="1"/>
          <c:order val="1"/>
          <c:tx>
            <c:strRef>
              <c:f>'SS Rod Radial Profile_20'!$AB$16:$AB$16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xVal>
            <c:numRef>
              <c:f>'SS Rod Radial Profile_20'!$C$14:$M$14</c:f>
              <c:numCache>
                <c:formatCode>General</c:formatCode>
                <c:ptCount val="11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</c:numCache>
            </c:numRef>
          </c:xVal>
          <c:yVal>
            <c:numRef>
              <c:f>'SS Rod Radial Profile_20'!$R$16:$AD$16</c:f>
              <c:numCache>
                <c:formatCode>General</c:formatCode>
                <c:ptCount val="13"/>
                <c:pt idx="0">
                  <c:v>59.2654272222222</c:v>
                </c:pt>
                <c:pt idx="1">
                  <c:v>54.5978138888889</c:v>
                </c:pt>
                <c:pt idx="2">
                  <c:v>49.61868</c:v>
                </c:pt>
                <c:pt idx="3">
                  <c:v>44.3280433333333</c:v>
                </c:pt>
                <c:pt idx="4">
                  <c:v>38.7259177777778</c:v>
                </c:pt>
                <c:pt idx="5">
                  <c:v>32.85023</c:v>
                </c:pt>
                <c:pt idx="6">
                  <c:v>5.4798727777778</c:v>
                </c:pt>
                <c:pt idx="7">
                  <c:v>0</c:v>
                </c:pt>
                <c:pt idx="8">
                  <c:v>-3.93612024128111</c:v>
                </c:pt>
                <c:pt idx="9">
                  <c:v/>
                </c:pt>
                <c:pt idx="10">
                  <c:v/>
                </c:pt>
                <c:pt idx="11">
                  <c:v>-0.161508055335375</c:v>
                </c:pt>
                <c:pt idx="12">
                  <c:v>-0.174342994134548</c:v>
                </c:pt>
              </c:numCache>
            </c:numRef>
          </c:yVal>
        </c:ser>
        <c:axId val="76341908"/>
        <c:axId val="44847666"/>
      </c:scatterChart>
      <c:valAx>
        <c:axId val="763419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847666"/>
        <c:crossesAt val="0"/>
      </c:valAx>
      <c:valAx>
        <c:axId val="44847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34190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Fuel_Centerline_Temperature!$M$8:$M$8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trendline>
            <c:spPr>
              <a:ln>
                <a:solidFill>
                  <a:srgbClr val="ff420e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Fuel_Centerline_Temperature!$E$9:$E$11</c:f>
              <c:numCache>
                <c:formatCode>General</c:formatCode>
                <c:ptCount val="3"/>
                <c:pt idx="0">
                  <c:v>0.0643624305720022</c:v>
                </c:pt>
                <c:pt idx="1">
                  <c:v>0.0304874671130537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Fuel_Centerline_Temperature!$M$15:$M$17</c:f>
              <c:numCache>
                <c:formatCode>General</c:formatCode>
                <c:ptCount val="3"/>
                <c:pt idx="0">
                  <c:v>0.0132672997662119</c:v>
                </c:pt>
                <c:pt idx="1">
                  <c:v>0.00451616011226333</c:v>
                </c:pt>
                <c:pt idx="2">
                  <c:v>0.0014871619424406</c:v>
                </c:pt>
              </c:numCache>
            </c:numRef>
          </c:yVal>
        </c:ser>
        <c:ser>
          <c:idx val="1"/>
          <c:order val="1"/>
          <c:tx>
            <c:strRef>
              <c:f>Fuel_Centerline_Temperature!$N$8:$N$8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0.0643624305720022</c:v>
                </c:pt>
                <c:pt idx="1">
                  <c:v>0.0304874671130537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Fuel_Centerline_Temperature!$N$9:$N$11</c:f>
              <c:numCache>
                <c:formatCode>General</c:formatCode>
                <c:ptCount val="3"/>
                <c:pt idx="0">
                  <c:v>1.24421287015028</c:v>
                </c:pt>
                <c:pt idx="1">
                  <c:v>0.439988240520549</c:v>
                </c:pt>
                <c:pt idx="2">
                  <c:v>0.161508055335375</c:v>
                </c:pt>
              </c:numCache>
            </c:numRef>
          </c:yVal>
        </c:ser>
        <c:ser>
          <c:idx val="2"/>
          <c:order val="2"/>
          <c:tx>
            <c:strRef>
              <c:f>Fuel_Centerline_Temperature!$O$8:$O$8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0.0643624305720022</c:v>
                </c:pt>
                <c:pt idx="1">
                  <c:v>0.0304874671130537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Fuel_Centerline_Temperature!$O$9:$O$11</c:f>
              <c:numCache>
                <c:formatCode>General</c:formatCode>
                <c:ptCount val="3"/>
                <c:pt idx="0">
                  <c:v>1.21665138866872</c:v>
                </c:pt>
                <c:pt idx="1">
                  <c:v>0.410569536816908</c:v>
                </c:pt>
                <c:pt idx="2">
                  <c:v>0.131604907187239</c:v>
                </c:pt>
              </c:numCache>
            </c:numRef>
          </c:yVal>
        </c:ser>
        <c:axId val="92717779"/>
        <c:axId val="31717228"/>
      </c:scatterChart>
      <c:valAx>
        <c:axId val="927177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717228"/>
        <c:crossesAt val="0"/>
      </c:valAx>
      <c:valAx>
        <c:axId val="317172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71777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Fuel_Centerline_Temperature!$M$8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0.0643624305720022</c:v>
                </c:pt>
                <c:pt idx="1">
                  <c:v>0.0304874671130537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Fuel_Centerline_Temperature!$M$9:$M$11</c:f>
              <c:numCache>
                <c:formatCode>General</c:formatCode>
                <c:ptCount val="3"/>
                <c:pt idx="0">
                  <c:v>1.2213473145946</c:v>
                </c:pt>
                <c:pt idx="1">
                  <c:v>0.415743981261301</c:v>
                </c:pt>
                <c:pt idx="2">
                  <c:v>0.136903610890954</c:v>
                </c:pt>
              </c:numCache>
            </c:numRef>
          </c:yVal>
        </c:ser>
        <c:ser>
          <c:idx val="1"/>
          <c:order val="1"/>
          <c:tx>
            <c:strRef>
              <c:f>Fuel_Centerline_Temperature!$N$8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0.0643624305720022</c:v>
                </c:pt>
                <c:pt idx="1">
                  <c:v>0.0304874671130537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Fuel_Centerline_Temperature!$N$9:$N$11</c:f>
              <c:numCache>
                <c:formatCode>General</c:formatCode>
                <c:ptCount val="3"/>
                <c:pt idx="0">
                  <c:v>1.24421287015028</c:v>
                </c:pt>
                <c:pt idx="1">
                  <c:v>0.439988240520549</c:v>
                </c:pt>
                <c:pt idx="2">
                  <c:v>0.161508055335375</c:v>
                </c:pt>
              </c:numCache>
            </c:numRef>
          </c:yVal>
        </c:ser>
        <c:ser>
          <c:idx val="2"/>
          <c:order val="2"/>
          <c:tx>
            <c:strRef>
              <c:f>Fuel_Centerline_Temperature!$O$8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0.0643624305720022</c:v>
                </c:pt>
                <c:pt idx="1">
                  <c:v>0.0304874671130537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Fuel_Centerline_Temperature!$O$9:$O$11</c:f>
              <c:numCache>
                <c:formatCode>General</c:formatCode>
                <c:ptCount val="3"/>
                <c:pt idx="0">
                  <c:v>1.21665138866872</c:v>
                </c:pt>
                <c:pt idx="1">
                  <c:v>0.410569536816908</c:v>
                </c:pt>
                <c:pt idx="2">
                  <c:v>0.131604907187239</c:v>
                </c:pt>
              </c:numCache>
            </c:numRef>
          </c:yVal>
        </c:ser>
        <c:ser>
          <c:idx val="3"/>
          <c:order val="3"/>
          <c:tx>
            <c:strRef>
              <c:f>Fuel_Centerline_Temperature!$P$8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0.0643624305720022</c:v>
                </c:pt>
                <c:pt idx="1">
                  <c:v>0.0304874671130537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Fuel_Centerline_Temperature!$P$9:$P$11</c:f>
              <c:numCache>
                <c:formatCode>General</c:formatCode>
                <c:ptCount val="3"/>
                <c:pt idx="0">
                  <c:v>1.98093249977991</c:v>
                </c:pt>
                <c:pt idx="1">
                  <c:v>0.716773981261326</c:v>
                </c:pt>
                <c:pt idx="2">
                  <c:v>0.187490647927916</c:v>
                </c:pt>
              </c:numCache>
            </c:numRef>
          </c:yVal>
        </c:ser>
        <c:axId val="8893481"/>
        <c:axId val="68397527"/>
      </c:scatterChart>
      <c:valAx>
        <c:axId val="8893481"/>
        <c:scaling>
          <c:orientation val="minMax"/>
          <c:logBase val="10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397527"/>
        <c:crosses val="autoZero"/>
      </c:valAx>
      <c:valAx>
        <c:axId val="68397527"/>
        <c:scaling>
          <c:orientation val="minMax"/>
          <c:logBase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9348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Fuel_Centerline_Temperature!$M$14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</c:numCache>
            </c:numRef>
          </c:xVal>
          <c:yVal>
            <c:numRef>
              <c:f>Fuel_Centerline_Temperature!$M$15:$M$17</c:f>
              <c:numCache>
                <c:formatCode>General</c:formatCode>
                <c:ptCount val="3"/>
                <c:pt idx="0">
                  <c:v>0.0132672997662119</c:v>
                </c:pt>
                <c:pt idx="1">
                  <c:v>0.00451616011226333</c:v>
                </c:pt>
                <c:pt idx="2">
                  <c:v>0.0014871619424406</c:v>
                </c:pt>
              </c:numCache>
            </c:numRef>
          </c:yVal>
        </c:ser>
        <c:ser>
          <c:idx val="1"/>
          <c:order val="1"/>
          <c:tx>
            <c:strRef>
              <c:f>Fuel_Centerline_Temperature!$N$14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</c:numCache>
            </c:numRef>
          </c:xVal>
          <c:yVal>
            <c:numRef>
              <c:f>Fuel_Centerline_Temperature!$N$15:$N$17</c:f>
              <c:numCache>
                <c:formatCode>General</c:formatCode>
                <c:ptCount val="3"/>
                <c:pt idx="0">
                  <c:v>0.0135156846246818</c:v>
                </c:pt>
                <c:pt idx="1">
                  <c:v>0.00477952160768609</c:v>
                </c:pt>
                <c:pt idx="2">
                  <c:v>0.00175443607169481</c:v>
                </c:pt>
              </c:numCache>
            </c:numRef>
          </c:yVal>
        </c:ser>
        <c:ser>
          <c:idx val="2"/>
          <c:order val="2"/>
          <c:tx>
            <c:strRef>
              <c:f>Fuel_Centerline_Temperature!$O$14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</c:numCache>
            </c:numRef>
          </c:xVal>
          <c:yVal>
            <c:numRef>
              <c:f>Fuel_Centerline_Temperature!$O$15:$O$17</c:f>
              <c:numCache>
                <c:formatCode>General</c:formatCode>
                <c:ptCount val="3"/>
                <c:pt idx="0">
                  <c:v>0.0132162886769058</c:v>
                </c:pt>
                <c:pt idx="1">
                  <c:v>0.00445995095312651</c:v>
                </c:pt>
                <c:pt idx="2">
                  <c:v>0.00142960297492213</c:v>
                </c:pt>
              </c:numCache>
            </c:numRef>
          </c:yVal>
        </c:ser>
        <c:ser>
          <c:idx val="3"/>
          <c:order val="3"/>
          <c:tx>
            <c:strRef>
              <c:f>Fuel_Centerline_Temperature!$P$14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</c:numCache>
            </c:numRef>
          </c:xVal>
          <c:yVal>
            <c:numRef>
              <c:f>Fuel_Centerline_Temperature!$P$15:$P$17</c:f>
              <c:numCache>
                <c:formatCode>General</c:formatCode>
                <c:ptCount val="3"/>
                <c:pt idx="0">
                  <c:v>0.0215185516659814</c:v>
                </c:pt>
                <c:pt idx="1">
                  <c:v>0.0077862006657555</c:v>
                </c:pt>
                <c:pt idx="2">
                  <c:v>0.00203668080299225</c:v>
                </c:pt>
              </c:numCache>
            </c:numRef>
          </c:yVal>
        </c:ser>
        <c:axId val="2948999"/>
        <c:axId val="20640980"/>
      </c:scatterChart>
      <c:valAx>
        <c:axId val="2948999"/>
        <c:scaling>
          <c:orientation val="minMax"/>
          <c:logBase val="10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640980"/>
        <c:crosses val="autoZero"/>
      </c:valAx>
      <c:valAx>
        <c:axId val="20640980"/>
        <c:scaling>
          <c:orientation val="minMax"/>
          <c:logBase val="10"/>
          <c:max val="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4899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Fuel_Centerline_Temperature!$H$14</c:f>
              <c:strCache>
                <c:ptCount val="1"/>
                <c:pt idx="0">
                  <c:v>delta_R_1 [cm]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Fuel_Centerline_Temperature!$G$15:$G$17</c:f>
              <c:numCache>
                <c:formatCode>General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</c:numCache>
            </c:numRef>
          </c:xVal>
          <c:yVal>
            <c:numRef>
              <c:f>Fuel_Centerline_Temperature!$H$15:$H$17</c:f>
              <c:numCache>
                <c:formatCode>General</c:formatCode>
                <c:ptCount val="3"/>
                <c:pt idx="0">
                  <c:v>0.0643624305720022</c:v>
                </c:pt>
                <c:pt idx="1">
                  <c:v>0.0304874671130537</c:v>
                </c:pt>
                <c:pt idx="2">
                  <c:v>0.014852868593539</c:v>
                </c:pt>
              </c:numCache>
            </c:numRef>
          </c:yVal>
        </c:ser>
        <c:axId val="61033537"/>
        <c:axId val="69665099"/>
      </c:scatterChart>
      <c:valAx>
        <c:axId val="610335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665099"/>
        <c:crosses val="autoZero"/>
      </c:valAx>
      <c:valAx>
        <c:axId val="69665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0335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22.xml"/><Relationship Id="rId2" Type="http://schemas.openxmlformats.org/officeDocument/2006/relationships/chart" Target="../charts/chart2523.xml"/><Relationship Id="rId3" Type="http://schemas.openxmlformats.org/officeDocument/2006/relationships/chart" Target="../charts/chart2524.xml"/><Relationship Id="rId4" Type="http://schemas.openxmlformats.org/officeDocument/2006/relationships/chart" Target="../charts/chart2525.xml"/><Relationship Id="rId5" Type="http://schemas.openxmlformats.org/officeDocument/2006/relationships/chart" Target="../charts/chart25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27.xml"/><Relationship Id="rId2" Type="http://schemas.openxmlformats.org/officeDocument/2006/relationships/chart" Target="../charts/chart2528.xml"/><Relationship Id="rId3" Type="http://schemas.openxmlformats.org/officeDocument/2006/relationships/chart" Target="../charts/chart2529.xml"/><Relationship Id="rId4" Type="http://schemas.openxmlformats.org/officeDocument/2006/relationships/chart" Target="../charts/chart253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31.xml"/><Relationship Id="rId2" Type="http://schemas.openxmlformats.org/officeDocument/2006/relationships/chart" Target="../charts/chart2532.xml"/><Relationship Id="rId3" Type="http://schemas.openxmlformats.org/officeDocument/2006/relationships/chart" Target="../charts/chart2533.xml"/><Relationship Id="rId4" Type="http://schemas.openxmlformats.org/officeDocument/2006/relationships/chart" Target="../charts/chart2534.xml"/><Relationship Id="rId5" Type="http://schemas.openxmlformats.org/officeDocument/2006/relationships/chart" Target="../charts/chart253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36.xml"/><Relationship Id="rId2" Type="http://schemas.openxmlformats.org/officeDocument/2006/relationships/chart" Target="../charts/chart2537.xml"/><Relationship Id="rId3" Type="http://schemas.openxmlformats.org/officeDocument/2006/relationships/chart" Target="../charts/chart2538.xml"/><Relationship Id="rId4" Type="http://schemas.openxmlformats.org/officeDocument/2006/relationships/chart" Target="../charts/chart25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400320</xdr:colOff>
      <xdr:row>37</xdr:row>
      <xdr:rowOff>79920</xdr:rowOff>
    </xdr:from>
    <xdr:to>
      <xdr:col>20</xdr:col>
      <xdr:colOff>224640</xdr:colOff>
      <xdr:row>54</xdr:row>
      <xdr:rowOff>89640</xdr:rowOff>
    </xdr:to>
    <xdr:graphicFrame>
      <xdr:nvGraphicFramePr>
        <xdr:cNvPr id="0" name=""/>
        <xdr:cNvGraphicFramePr/>
      </xdr:nvGraphicFramePr>
      <xdr:xfrm>
        <a:off x="12962520" y="6094440"/>
        <a:ext cx="5527800" cy="277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718560</xdr:colOff>
      <xdr:row>38</xdr:row>
      <xdr:rowOff>155160</xdr:rowOff>
    </xdr:from>
    <xdr:to>
      <xdr:col>13</xdr:col>
      <xdr:colOff>720000</xdr:colOff>
      <xdr:row>56</xdr:row>
      <xdr:rowOff>13680</xdr:rowOff>
    </xdr:to>
    <xdr:graphicFrame>
      <xdr:nvGraphicFramePr>
        <xdr:cNvPr id="1" name=""/>
        <xdr:cNvGraphicFramePr/>
      </xdr:nvGraphicFramePr>
      <xdr:xfrm>
        <a:off x="7177680" y="6332400"/>
        <a:ext cx="5291640" cy="27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120240</xdr:colOff>
      <xdr:row>59</xdr:row>
      <xdr:rowOff>4320</xdr:rowOff>
    </xdr:from>
    <xdr:to>
      <xdr:col>7</xdr:col>
      <xdr:colOff>82080</xdr:colOff>
      <xdr:row>83</xdr:row>
      <xdr:rowOff>24840</xdr:rowOff>
    </xdr:to>
    <xdr:graphicFrame>
      <xdr:nvGraphicFramePr>
        <xdr:cNvPr id="2" name=""/>
        <xdr:cNvGraphicFramePr/>
      </xdr:nvGraphicFramePr>
      <xdr:xfrm>
        <a:off x="120240" y="9595080"/>
        <a:ext cx="6420960" cy="392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48600</xdr:colOff>
      <xdr:row>56</xdr:row>
      <xdr:rowOff>36360</xdr:rowOff>
    </xdr:from>
    <xdr:to>
      <xdr:col>14</xdr:col>
      <xdr:colOff>699840</xdr:colOff>
      <xdr:row>73</xdr:row>
      <xdr:rowOff>46800</xdr:rowOff>
    </xdr:to>
    <xdr:graphicFrame>
      <xdr:nvGraphicFramePr>
        <xdr:cNvPr id="3" name=""/>
        <xdr:cNvGraphicFramePr/>
      </xdr:nvGraphicFramePr>
      <xdr:xfrm>
        <a:off x="7320600" y="9139680"/>
        <a:ext cx="594144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54720</xdr:colOff>
      <xdr:row>38</xdr:row>
      <xdr:rowOff>144720</xdr:rowOff>
    </xdr:from>
    <xdr:to>
      <xdr:col>6</xdr:col>
      <xdr:colOff>168120</xdr:colOff>
      <xdr:row>58</xdr:row>
      <xdr:rowOff>133200</xdr:rowOff>
    </xdr:to>
    <xdr:graphicFrame>
      <xdr:nvGraphicFramePr>
        <xdr:cNvPr id="4" name=""/>
        <xdr:cNvGraphicFramePr/>
      </xdr:nvGraphicFramePr>
      <xdr:xfrm>
        <a:off x="54720" y="6321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680760</xdr:colOff>
      <xdr:row>46</xdr:row>
      <xdr:rowOff>58680</xdr:rowOff>
    </xdr:from>
    <xdr:to>
      <xdr:col>20</xdr:col>
      <xdr:colOff>505080</xdr:colOff>
      <xdr:row>63</xdr:row>
      <xdr:rowOff>68040</xdr:rowOff>
    </xdr:to>
    <xdr:graphicFrame>
      <xdr:nvGraphicFramePr>
        <xdr:cNvPr id="5" name=""/>
        <xdr:cNvGraphicFramePr/>
      </xdr:nvGraphicFramePr>
      <xdr:xfrm>
        <a:off x="12829320" y="7536240"/>
        <a:ext cx="5527800" cy="277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81000</xdr:colOff>
      <xdr:row>43</xdr:row>
      <xdr:rowOff>101880</xdr:rowOff>
    </xdr:from>
    <xdr:to>
      <xdr:col>14</xdr:col>
      <xdr:colOff>83160</xdr:colOff>
      <xdr:row>60</xdr:row>
      <xdr:rowOff>122400</xdr:rowOff>
    </xdr:to>
    <xdr:graphicFrame>
      <xdr:nvGraphicFramePr>
        <xdr:cNvPr id="6" name=""/>
        <xdr:cNvGraphicFramePr/>
      </xdr:nvGraphicFramePr>
      <xdr:xfrm>
        <a:off x="7353000" y="7091640"/>
        <a:ext cx="4878720" cy="278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339840</xdr:colOff>
      <xdr:row>54</xdr:row>
      <xdr:rowOff>123120</xdr:rowOff>
    </xdr:from>
    <xdr:to>
      <xdr:col>7</xdr:col>
      <xdr:colOff>301680</xdr:colOff>
      <xdr:row>78</xdr:row>
      <xdr:rowOff>144000</xdr:rowOff>
    </xdr:to>
    <xdr:graphicFrame>
      <xdr:nvGraphicFramePr>
        <xdr:cNvPr id="7" name=""/>
        <xdr:cNvGraphicFramePr/>
      </xdr:nvGraphicFramePr>
      <xdr:xfrm>
        <a:off x="339840" y="8901360"/>
        <a:ext cx="6420960" cy="392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92160</xdr:colOff>
      <xdr:row>62</xdr:row>
      <xdr:rowOff>91080</xdr:rowOff>
    </xdr:from>
    <xdr:to>
      <xdr:col>14</xdr:col>
      <xdr:colOff>744120</xdr:colOff>
      <xdr:row>79</xdr:row>
      <xdr:rowOff>101160</xdr:rowOff>
    </xdr:to>
    <xdr:graphicFrame>
      <xdr:nvGraphicFramePr>
        <xdr:cNvPr id="8" name=""/>
        <xdr:cNvGraphicFramePr/>
      </xdr:nvGraphicFramePr>
      <xdr:xfrm>
        <a:off x="7364160" y="10169640"/>
        <a:ext cx="5528520" cy="277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646920</xdr:colOff>
      <xdr:row>41</xdr:row>
      <xdr:rowOff>156240</xdr:rowOff>
    </xdr:from>
    <xdr:to>
      <xdr:col>6</xdr:col>
      <xdr:colOff>213120</xdr:colOff>
      <xdr:row>59</xdr:row>
      <xdr:rowOff>14400</xdr:rowOff>
    </xdr:to>
    <xdr:graphicFrame>
      <xdr:nvGraphicFramePr>
        <xdr:cNvPr id="9" name=""/>
        <xdr:cNvGraphicFramePr/>
      </xdr:nvGraphicFramePr>
      <xdr:xfrm>
        <a:off x="646920" y="6820920"/>
        <a:ext cx="5212440" cy="278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91800</xdr:colOff>
      <xdr:row>40</xdr:row>
      <xdr:rowOff>4320</xdr:rowOff>
    </xdr:from>
    <xdr:to>
      <xdr:col>22</xdr:col>
      <xdr:colOff>329400</xdr:colOff>
      <xdr:row>57</xdr:row>
      <xdr:rowOff>14400</xdr:rowOff>
    </xdr:to>
    <xdr:graphicFrame>
      <xdr:nvGraphicFramePr>
        <xdr:cNvPr id="10" name=""/>
        <xdr:cNvGraphicFramePr/>
      </xdr:nvGraphicFramePr>
      <xdr:xfrm>
        <a:off x="14279400" y="6506640"/>
        <a:ext cx="5527800" cy="277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212760</xdr:colOff>
      <xdr:row>47</xdr:row>
      <xdr:rowOff>14760</xdr:rowOff>
    </xdr:from>
    <xdr:to>
      <xdr:col>14</xdr:col>
      <xdr:colOff>214560</xdr:colOff>
      <xdr:row>64</xdr:row>
      <xdr:rowOff>36000</xdr:rowOff>
    </xdr:to>
    <xdr:graphicFrame>
      <xdr:nvGraphicFramePr>
        <xdr:cNvPr id="11" name=""/>
        <xdr:cNvGraphicFramePr/>
      </xdr:nvGraphicFramePr>
      <xdr:xfrm>
        <a:off x="7484760" y="7655040"/>
        <a:ext cx="4878360" cy="27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252000</xdr:colOff>
      <xdr:row>65</xdr:row>
      <xdr:rowOff>69120</xdr:rowOff>
    </xdr:from>
    <xdr:to>
      <xdr:col>7</xdr:col>
      <xdr:colOff>213840</xdr:colOff>
      <xdr:row>89</xdr:row>
      <xdr:rowOff>90360</xdr:rowOff>
    </xdr:to>
    <xdr:graphicFrame>
      <xdr:nvGraphicFramePr>
        <xdr:cNvPr id="12" name=""/>
        <xdr:cNvGraphicFramePr/>
      </xdr:nvGraphicFramePr>
      <xdr:xfrm>
        <a:off x="252000" y="10635480"/>
        <a:ext cx="6420960" cy="392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268200</xdr:colOff>
      <xdr:row>63</xdr:row>
      <xdr:rowOff>14760</xdr:rowOff>
    </xdr:from>
    <xdr:to>
      <xdr:col>15</xdr:col>
      <xdr:colOff>106920</xdr:colOff>
      <xdr:row>80</xdr:row>
      <xdr:rowOff>24840</xdr:rowOff>
    </xdr:to>
    <xdr:graphicFrame>
      <xdr:nvGraphicFramePr>
        <xdr:cNvPr id="13" name=""/>
        <xdr:cNvGraphicFramePr/>
      </xdr:nvGraphicFramePr>
      <xdr:xfrm>
        <a:off x="7540200" y="10256040"/>
        <a:ext cx="5528160" cy="277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107640</xdr:colOff>
      <xdr:row>1</xdr:row>
      <xdr:rowOff>115560</xdr:rowOff>
    </xdr:from>
    <xdr:to>
      <xdr:col>32</xdr:col>
      <xdr:colOff>177480</xdr:colOff>
      <xdr:row>21</xdr:row>
      <xdr:rowOff>103320</xdr:rowOff>
    </xdr:to>
    <xdr:graphicFrame>
      <xdr:nvGraphicFramePr>
        <xdr:cNvPr id="14" name=""/>
        <xdr:cNvGraphicFramePr/>
      </xdr:nvGraphicFramePr>
      <xdr:xfrm>
        <a:off x="24238800" y="277920"/>
        <a:ext cx="5759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483120</xdr:colOff>
      <xdr:row>26</xdr:row>
      <xdr:rowOff>21960</xdr:rowOff>
    </xdr:from>
    <xdr:to>
      <xdr:col>14</xdr:col>
      <xdr:colOff>252720</xdr:colOff>
      <xdr:row>46</xdr:row>
      <xdr:rowOff>11520</xdr:rowOff>
    </xdr:to>
    <xdr:graphicFrame>
      <xdr:nvGraphicFramePr>
        <xdr:cNvPr id="15" name=""/>
        <xdr:cNvGraphicFramePr/>
      </xdr:nvGraphicFramePr>
      <xdr:xfrm>
        <a:off x="9270000" y="4248360"/>
        <a:ext cx="57596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525960</xdr:colOff>
      <xdr:row>27</xdr:row>
      <xdr:rowOff>11160</xdr:rowOff>
    </xdr:from>
    <xdr:to>
      <xdr:col>22</xdr:col>
      <xdr:colOff>182880</xdr:colOff>
      <xdr:row>47</xdr:row>
      <xdr:rowOff>720</xdr:rowOff>
    </xdr:to>
    <xdr:graphicFrame>
      <xdr:nvGraphicFramePr>
        <xdr:cNvPr id="16" name=""/>
        <xdr:cNvGraphicFramePr/>
      </xdr:nvGraphicFramePr>
      <xdr:xfrm>
        <a:off x="16115760" y="4400280"/>
        <a:ext cx="57596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294480</xdr:colOff>
      <xdr:row>30</xdr:row>
      <xdr:rowOff>11520</xdr:rowOff>
    </xdr:from>
    <xdr:to>
      <xdr:col>7</xdr:col>
      <xdr:colOff>614520</xdr:colOff>
      <xdr:row>49</xdr:row>
      <xdr:rowOff>163080</xdr:rowOff>
    </xdr:to>
    <xdr:graphicFrame>
      <xdr:nvGraphicFramePr>
        <xdr:cNvPr id="17" name=""/>
        <xdr:cNvGraphicFramePr/>
      </xdr:nvGraphicFramePr>
      <xdr:xfrm>
        <a:off x="1919880" y="4888080"/>
        <a:ext cx="57589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1.5204081632653"/>
    <col collapsed="false" hidden="false" max="2" min="2" style="0" width="13.2091836734694"/>
    <col collapsed="false" hidden="false" max="3" min="3" style="1" width="15.219387755102"/>
    <col collapsed="false" hidden="false" max="4" min="4" style="1" width="14.6581632653061"/>
    <col collapsed="false" hidden="false" max="5" min="5" style="1" width="11.5204081632653"/>
    <col collapsed="false" hidden="false" max="6" min="6" style="0" width="11.5204081632653"/>
    <col collapsed="false" hidden="false" max="7" min="7" style="0" width="18.4591836734694"/>
    <col collapsed="false" hidden="false" max="1025" min="8" style="0" width="11.5204081632653"/>
  </cols>
  <sheetData>
    <row r="1" customFormat="false" ht="12.8" hidden="false" customHeight="false" outlineLevel="0" collapsed="false">
      <c r="C1" s="0"/>
      <c r="D1" s="0"/>
      <c r="E1" s="0"/>
      <c r="G1" s="2"/>
    </row>
    <row r="2" customFormat="false" ht="12.8" hidden="false" customHeight="false" outlineLevel="0" collapsed="false">
      <c r="C2" s="0"/>
      <c r="D2" s="0"/>
      <c r="E2" s="0"/>
      <c r="G2" s="2"/>
      <c r="L2" s="1" t="n">
        <v>1</v>
      </c>
      <c r="M2" s="1" t="s">
        <v>0</v>
      </c>
      <c r="N2" s="1" t="s">
        <v>1</v>
      </c>
    </row>
    <row r="3" customFormat="false" ht="12.8" hidden="false" customHeight="false" outlineLevel="0" collapsed="false">
      <c r="C3" s="3" t="s">
        <v>2</v>
      </c>
      <c r="D3" s="0"/>
      <c r="E3" s="0"/>
      <c r="G3" s="4" t="s">
        <v>3</v>
      </c>
      <c r="L3" s="4" t="s">
        <v>4</v>
      </c>
    </row>
    <row r="4" customFormat="false" ht="12.8" hidden="false" customHeight="false" outlineLevel="0" collapsed="false">
      <c r="C4" s="1" t="s">
        <v>5</v>
      </c>
      <c r="D4" s="1" t="n">
        <v>10</v>
      </c>
      <c r="E4" s="0"/>
      <c r="G4" s="0" t="s">
        <v>6</v>
      </c>
      <c r="H4" s="5" t="n">
        <v>5.377069796</v>
      </c>
      <c r="I4" s="0" t="s">
        <v>7</v>
      </c>
      <c r="L4" s="1" t="s">
        <v>8</v>
      </c>
      <c r="M4" s="1" t="s">
        <v>9</v>
      </c>
      <c r="N4" s="1" t="s">
        <v>10</v>
      </c>
    </row>
    <row r="5" customFormat="false" ht="12.8" hidden="false" customHeight="false" outlineLevel="0" collapsed="false">
      <c r="C5" s="1" t="s">
        <v>11</v>
      </c>
      <c r="D5" s="1" t="n">
        <v>20</v>
      </c>
      <c r="E5" s="0"/>
      <c r="G5" s="0" t="s">
        <v>12</v>
      </c>
      <c r="H5" s="5" t="n">
        <v>14.83</v>
      </c>
      <c r="I5" s="0" t="s">
        <v>7</v>
      </c>
      <c r="L5" s="1" t="s">
        <v>13</v>
      </c>
      <c r="M5" s="1" t="s">
        <v>14</v>
      </c>
      <c r="N5" s="6" t="n">
        <v>1.05505585262</v>
      </c>
    </row>
    <row r="6" customFormat="false" ht="12.8" hidden="false" customHeight="false" outlineLevel="0" collapsed="false">
      <c r="C6" s="1" t="s">
        <v>15</v>
      </c>
      <c r="D6" s="1" t="n">
        <v>3.658</v>
      </c>
      <c r="E6" s="1" t="s">
        <v>16</v>
      </c>
      <c r="G6" s="0" t="s">
        <v>17</v>
      </c>
      <c r="H6" s="7" t="n">
        <v>10970.40457</v>
      </c>
      <c r="I6" s="0" t="s">
        <v>18</v>
      </c>
      <c r="L6" s="1" t="s">
        <v>19</v>
      </c>
      <c r="M6" s="1" t="s">
        <v>16</v>
      </c>
      <c r="N6" s="1" t="n">
        <f aca="false">12*0.0254</f>
        <v>0.3048</v>
      </c>
    </row>
    <row r="7" customFormat="false" ht="12.8" hidden="false" customHeight="false" outlineLevel="0" collapsed="false">
      <c r="C7" s="1" t="s">
        <v>20</v>
      </c>
      <c r="D7" s="1" t="n">
        <f aca="false">Problem_Setup!D6/Problem_Setup!D5</f>
        <v>0.1829</v>
      </c>
      <c r="E7" s="1" t="s">
        <v>16</v>
      </c>
      <c r="G7" s="0" t="s">
        <v>21</v>
      </c>
      <c r="H7" s="1" t="n">
        <v>8470.57</v>
      </c>
      <c r="I7" s="0" t="s">
        <v>18</v>
      </c>
      <c r="L7" s="1" t="s">
        <v>22</v>
      </c>
      <c r="M7" s="1" t="s">
        <v>23</v>
      </c>
      <c r="N7" s="1" t="n">
        <f aca="false">5/9</f>
        <v>0.555555555555556</v>
      </c>
    </row>
    <row r="8" customFormat="false" ht="12.8" hidden="false" customHeight="false" outlineLevel="0" collapsed="false">
      <c r="C8" s="1" t="s">
        <v>24</v>
      </c>
      <c r="D8" s="1" t="n">
        <f aca="false">0.475</f>
        <v>0.475</v>
      </c>
      <c r="E8" s="1" t="s">
        <v>25</v>
      </c>
      <c r="G8" s="0" t="s">
        <v>26</v>
      </c>
      <c r="H8" s="8" t="n">
        <v>0.288947796</v>
      </c>
      <c r="I8" s="0" t="s">
        <v>27</v>
      </c>
      <c r="L8" s="0" t="s">
        <v>28</v>
      </c>
      <c r="M8" s="0" t="s">
        <v>29</v>
      </c>
      <c r="N8" s="0" t="n">
        <f aca="false">1000*t_btu_kw/(t_R_K*t_ft_m^2)/3600</f>
        <v>5.67826334111349</v>
      </c>
    </row>
    <row r="9" customFormat="false" ht="12.8" hidden="false" customHeight="false" outlineLevel="0" collapsed="false">
      <c r="C9" s="1" t="s">
        <v>30</v>
      </c>
      <c r="D9" s="1" t="n">
        <f aca="false">0.8192/2</f>
        <v>0.4096</v>
      </c>
      <c r="E9" s="1" t="s">
        <v>25</v>
      </c>
      <c r="G9" s="0" t="s">
        <v>31</v>
      </c>
      <c r="H9" s="8" t="n">
        <v>0.431</v>
      </c>
      <c r="I9" s="0" t="s">
        <v>27</v>
      </c>
      <c r="L9" s="0" t="s">
        <v>32</v>
      </c>
      <c r="M9" s="0" t="s">
        <v>33</v>
      </c>
      <c r="N9" s="0" t="n">
        <f aca="false">1/2.20462</f>
        <v>0.45359290943564</v>
      </c>
    </row>
    <row r="10" customFormat="false" ht="12.8" hidden="false" customHeight="false" outlineLevel="0" collapsed="false">
      <c r="C10" s="1" t="s">
        <v>34</v>
      </c>
      <c r="D10" s="9" t="n">
        <f aca="false">0.057</f>
        <v>0.057</v>
      </c>
      <c r="E10" s="1" t="s">
        <v>25</v>
      </c>
      <c r="G10" s="0" t="s">
        <v>35</v>
      </c>
      <c r="H10" s="7" t="n">
        <v>5678.3</v>
      </c>
      <c r="I10" s="0" t="s">
        <v>29</v>
      </c>
      <c r="L10" s="10"/>
    </row>
    <row r="11" customFormat="false" ht="12.8" hidden="false" customHeight="false" outlineLevel="0" collapsed="false">
      <c r="C11" s="1" t="s">
        <v>36</v>
      </c>
      <c r="D11" s="1" t="n">
        <f aca="false">(D8-D9)-D10</f>
        <v>0.00840000000000001</v>
      </c>
      <c r="E11" s="1" t="s">
        <v>16</v>
      </c>
    </row>
    <row r="12" customFormat="false" ht="12.8" hidden="false" customHeight="false" outlineLevel="0" collapsed="false">
      <c r="C12" s="1" t="s">
        <v>37</v>
      </c>
      <c r="D12" s="1" t="n">
        <v>1.26</v>
      </c>
      <c r="E12" s="1" t="s">
        <v>25</v>
      </c>
    </row>
    <row r="13" customFormat="false" ht="12.8" hidden="false" customHeight="false" outlineLevel="0" collapsed="false">
      <c r="C13" s="1" t="s">
        <v>38</v>
      </c>
      <c r="D13" s="11" t="n">
        <f aca="false">(2*PI()*'SS Rod Radial Profile_10'!O14/100*Problem_Setup!D7)</f>
        <v>0.00545867431524493</v>
      </c>
      <c r="E13" s="1" t="s">
        <v>39</v>
      </c>
      <c r="I13" s="7"/>
    </row>
    <row r="14" customFormat="false" ht="12.8" hidden="false" customHeight="false" outlineLevel="0" collapsed="false">
      <c r="C14" s="1" t="s">
        <v>40</v>
      </c>
      <c r="D14" s="12" t="n">
        <f aca="false">(D12^2-(PI()*D8^2))*10^-4</f>
        <v>8.78778157533803E-005</v>
      </c>
      <c r="E14" s="1" t="s">
        <v>39</v>
      </c>
    </row>
    <row r="15" customFormat="false" ht="12.8" hidden="false" customHeight="false" outlineLevel="0" collapsed="false">
      <c r="C15" s="1" t="s">
        <v>41</v>
      </c>
      <c r="D15" s="12" t="n">
        <f aca="false">2*PI()*D8/100</f>
        <v>0.029845130209103</v>
      </c>
      <c r="E15" s="1" t="s">
        <v>16</v>
      </c>
      <c r="G15" s="4" t="s">
        <v>42</v>
      </c>
      <c r="M15" s="10"/>
    </row>
    <row r="16" customFormat="false" ht="12.8" hidden="false" customHeight="false" outlineLevel="0" collapsed="false">
      <c r="C16" s="1" t="s">
        <v>43</v>
      </c>
      <c r="D16" s="0"/>
      <c r="E16" s="1" t="s">
        <v>16</v>
      </c>
      <c r="G16" s="0" t="s">
        <v>44</v>
      </c>
      <c r="H16" s="9" t="n">
        <v>0.311103548387097</v>
      </c>
      <c r="I16" s="0" t="s">
        <v>45</v>
      </c>
    </row>
    <row r="17" customFormat="false" ht="12.8" hidden="false" customHeight="false" outlineLevel="0" collapsed="false">
      <c r="C17" s="1" t="s">
        <v>46</v>
      </c>
      <c r="D17" s="1" t="n">
        <f aca="false">A_surf*L_chan</f>
        <v>0.019967830645166</v>
      </c>
      <c r="E17" s="1" t="s">
        <v>47</v>
      </c>
      <c r="G17" s="0" t="s">
        <v>48</v>
      </c>
      <c r="H17" s="9" t="n">
        <v>0.038641217872043</v>
      </c>
      <c r="I17" s="0" t="s">
        <v>49</v>
      </c>
    </row>
    <row r="18" customFormat="false" ht="12.8" hidden="false" customHeight="false" outlineLevel="0" collapsed="false">
      <c r="C18" s="1" t="s">
        <v>50</v>
      </c>
      <c r="D18" s="1" t="n">
        <f aca="false">vol_fuel*Rho_fuel</f>
        <v>219.055180562715</v>
      </c>
      <c r="E18" s="1" t="s">
        <v>33</v>
      </c>
      <c r="G18" s="0" t="s">
        <v>51</v>
      </c>
      <c r="H18" s="9" t="n">
        <f aca="false">Problem_Setup!D6/(2*'SS Rod Radial Profile_10'!O14/100)</f>
        <v>385.052631578948</v>
      </c>
      <c r="J18" s="0" t="s">
        <v>52</v>
      </c>
    </row>
    <row r="19" customFormat="false" ht="12.8" hidden="false" customHeight="false" outlineLevel="0" collapsed="false">
      <c r="C19" s="0"/>
      <c r="D19" s="0"/>
      <c r="E19" s="0"/>
      <c r="G19" s="0" t="s">
        <v>53</v>
      </c>
      <c r="H19" s="9" t="n">
        <v>738.529978402469</v>
      </c>
    </row>
    <row r="20" customFormat="false" ht="12.8" hidden="false" customHeight="false" outlineLevel="0" collapsed="false">
      <c r="C20" s="0"/>
      <c r="D20" s="0"/>
      <c r="E20" s="0"/>
      <c r="G20" s="0" t="s">
        <v>54</v>
      </c>
      <c r="H20" s="13" t="n">
        <v>449606.212166619</v>
      </c>
      <c r="J20" s="0" t="s">
        <v>55</v>
      </c>
    </row>
    <row r="21" customFormat="false" ht="12.8" hidden="false" customHeight="false" outlineLevel="0" collapsed="false">
      <c r="C21" s="0"/>
      <c r="D21" s="0"/>
      <c r="E21" s="0"/>
      <c r="G21" s="0" t="s">
        <v>56</v>
      </c>
      <c r="H21" s="9" t="n">
        <v>0.913978807329116</v>
      </c>
      <c r="J21" s="0" t="s">
        <v>57</v>
      </c>
    </row>
    <row r="22" customFormat="false" ht="12.8" hidden="false" customHeight="false" outlineLevel="0" collapsed="false">
      <c r="C22" s="3" t="s">
        <v>58</v>
      </c>
      <c r="D22" s="0"/>
      <c r="E22" s="0"/>
      <c r="G22" s="0" t="s">
        <v>59</v>
      </c>
      <c r="H22" s="9" t="n">
        <v>1.65522355798267</v>
      </c>
      <c r="I22" s="0" t="s">
        <v>60</v>
      </c>
    </row>
    <row r="23" customFormat="false" ht="12.8" hidden="false" customHeight="false" outlineLevel="0" collapsed="false">
      <c r="A23" s="0" t="n">
        <f aca="false">D23/t_btu_kw*t_ft_m</f>
        <v>1.155578633086</v>
      </c>
      <c r="B23" s="0" t="s">
        <v>61</v>
      </c>
      <c r="C23" s="1" t="s">
        <v>62</v>
      </c>
      <c r="D23" s="1" t="n">
        <v>4</v>
      </c>
      <c r="E23" s="1" t="s">
        <v>63</v>
      </c>
      <c r="G23" s="0" t="s">
        <v>59</v>
      </c>
      <c r="H23" s="13" t="n">
        <f aca="false">Problem_Setup!H22*3600*t_htc</f>
        <v>33835.6629023055</v>
      </c>
      <c r="I23" s="0" t="s">
        <v>29</v>
      </c>
    </row>
    <row r="24" customFormat="false" ht="12.8" hidden="false" customHeight="false" outlineLevel="0" collapsed="false">
      <c r="A24" s="0" t="n">
        <f aca="false">D24/t_btu_kw</f>
        <v>13.8684601044245</v>
      </c>
      <c r="B24" s="0" t="s">
        <v>13</v>
      </c>
      <c r="C24" s="1" t="s">
        <v>64</v>
      </c>
      <c r="D24" s="8" t="n">
        <f aca="false">Problem_Setup!D23*Problem_Setup!D6</f>
        <v>14.632</v>
      </c>
      <c r="E24" s="1" t="s">
        <v>65</v>
      </c>
      <c r="G24" s="0" t="s">
        <v>66</v>
      </c>
      <c r="H24" s="9" t="n">
        <f aca="false">Problem_Setup!D24*1000/(Problem_Setup!H23*A_surf*Problem_Setup!D5)</f>
        <v>3.96106367480532</v>
      </c>
      <c r="I24" s="0" t="s">
        <v>23</v>
      </c>
    </row>
    <row r="25" customFormat="false" ht="12.8" hidden="false" customHeight="false" outlineLevel="0" collapsed="false">
      <c r="A25" s="0" t="n">
        <f aca="false">D25/t_btu_kw*t_ft_m^3</f>
        <v>2036.85287204149</v>
      </c>
      <c r="B25" s="0" t="s">
        <v>67</v>
      </c>
      <c r="C25" s="1" t="s">
        <v>68</v>
      </c>
      <c r="D25" s="1" t="n">
        <f aca="false">Problem_Setup!D24/(L_chan*PI()*((Problem_Setup!D9/100)^2))</f>
        <v>75890.9907779195</v>
      </c>
      <c r="E25" s="1" t="s">
        <v>69</v>
      </c>
    </row>
    <row r="26" customFormat="false" ht="12.8" hidden="false" customHeight="false" outlineLevel="0" collapsed="false">
      <c r="A26" s="0" t="n">
        <f aca="false">D26/t_btu_kw*t_ft_m^2</f>
        <v>236.032052731458</v>
      </c>
      <c r="B26" s="0" t="s">
        <v>70</v>
      </c>
      <c r="C26" s="1" t="s">
        <v>71</v>
      </c>
      <c r="D26" s="1" t="n">
        <f aca="false">Problem_Setup!D24/A_surf</f>
        <v>2680.50430470561</v>
      </c>
      <c r="E26" s="1" t="s">
        <v>72</v>
      </c>
    </row>
    <row r="27" customFormat="false" ht="12.8" hidden="false" customHeight="false" outlineLevel="0" collapsed="false">
      <c r="A27" s="0" t="n">
        <f aca="false">A23*D7/t_ft_m</f>
        <v>0.693423005221223</v>
      </c>
      <c r="B27" s="0" t="s">
        <v>73</v>
      </c>
      <c r="C27" s="0"/>
      <c r="D27" s="0"/>
      <c r="E27" s="0"/>
      <c r="G27" s="4" t="s">
        <v>74</v>
      </c>
    </row>
    <row r="28" customFormat="false" ht="12.8" hidden="false" customHeight="false" outlineLevel="0" collapsed="false">
      <c r="A28" s="0" t="n">
        <v>2036.85287436894</v>
      </c>
      <c r="C28" s="0"/>
      <c r="D28" s="0"/>
      <c r="E28" s="0"/>
      <c r="G28" s="0" t="s">
        <v>75</v>
      </c>
      <c r="H28" s="0" t="n">
        <f aca="false">1/(hgap*2*PI()*R_fuel/100*dz)</f>
        <v>0.0374134833287124</v>
      </c>
      <c r="I28" s="0" t="s">
        <v>76</v>
      </c>
    </row>
    <row r="29" customFormat="false" ht="12.8" hidden="false" customHeight="false" outlineLevel="0" collapsed="false">
      <c r="C29" s="3" t="s">
        <v>77</v>
      </c>
      <c r="D29" s="0"/>
      <c r="E29" s="0"/>
      <c r="G29" s="0" t="s">
        <v>78</v>
      </c>
      <c r="H29" s="0" t="n">
        <f aca="false">LN(R_rod/(R_rod-D10))/(2*PI()*dz*k_clad)</f>
        <v>0.00750083338079456</v>
      </c>
      <c r="I29" s="0" t="s">
        <v>76</v>
      </c>
    </row>
    <row r="30" customFormat="false" ht="12.8" hidden="false" customHeight="false" outlineLevel="0" collapsed="false">
      <c r="C30" s="1" t="s">
        <v>79</v>
      </c>
      <c r="D30" s="1" t="n">
        <v>0.3</v>
      </c>
      <c r="E30" s="1" t="s">
        <v>80</v>
      </c>
      <c r="G30" s="0" t="s">
        <v>81</v>
      </c>
      <c r="H30" s="0" t="n">
        <f aca="false">1/(A_surf*H23)</f>
        <v>0.0054142477785748</v>
      </c>
      <c r="I30" s="0" t="s">
        <v>76</v>
      </c>
    </row>
    <row r="31" customFormat="false" ht="12.8" hidden="false" customHeight="false" outlineLevel="0" collapsed="false">
      <c r="C31" s="1" t="s">
        <v>82</v>
      </c>
      <c r="D31" s="1" t="n">
        <v>16.5</v>
      </c>
      <c r="E31" s="1" t="s">
        <v>83</v>
      </c>
    </row>
    <row r="32" customFormat="false" ht="12.8" hidden="false" customHeight="false" outlineLevel="0" collapsed="false">
      <c r="C32" s="1" t="s">
        <v>84</v>
      </c>
      <c r="D32" s="1" t="n">
        <v>290</v>
      </c>
      <c r="E32" s="1" t="s">
        <v>85</v>
      </c>
      <c r="G32" s="4" t="s">
        <v>86</v>
      </c>
    </row>
    <row r="33" customFormat="false" ht="12.8" hidden="false" customHeight="false" outlineLevel="0" collapsed="false">
      <c r="C33" s="1" t="s">
        <v>87</v>
      </c>
      <c r="D33" s="1" t="n">
        <v>1283.8</v>
      </c>
      <c r="E33" s="1" t="s">
        <v>88</v>
      </c>
      <c r="G33" s="0" t="s">
        <v>89</v>
      </c>
      <c r="H33" s="0" t="n">
        <f aca="false">q_lin*dz*1000*H28</f>
        <v>27.371704403286</v>
      </c>
      <c r="I33" s="0" t="s">
        <v>23</v>
      </c>
    </row>
    <row r="34" customFormat="false" ht="12.8" hidden="false" customHeight="false" outlineLevel="0" collapsed="false">
      <c r="C34" s="1" t="s">
        <v>90</v>
      </c>
      <c r="D34" s="1" t="n">
        <v>5.2189</v>
      </c>
      <c r="E34" s="1" t="s">
        <v>91</v>
      </c>
      <c r="G34" s="0" t="s">
        <v>92</v>
      </c>
      <c r="H34" s="0" t="n">
        <f aca="false">q_lin*dz*1000*H29</f>
        <v>5.4876097013893</v>
      </c>
      <c r="I34" s="0" t="s">
        <v>23</v>
      </c>
    </row>
    <row r="35" customFormat="false" ht="12.8" hidden="false" customHeight="false" outlineLevel="0" collapsed="false">
      <c r="C35" s="1" t="s">
        <v>93</v>
      </c>
      <c r="D35" s="1" t="n">
        <v>0.58213</v>
      </c>
      <c r="E35" s="1" t="s">
        <v>94</v>
      </c>
      <c r="G35" s="0" t="s">
        <v>95</v>
      </c>
      <c r="H35" s="0" t="n">
        <f aca="false">q_lin*dz*1000*H30</f>
        <v>3.96106367480532</v>
      </c>
      <c r="I35" s="0" t="s">
        <v>23</v>
      </c>
    </row>
    <row r="36" customFormat="false" ht="12.8" hidden="false" customHeight="false" outlineLevel="0" collapsed="false">
      <c r="C36" s="1" t="s">
        <v>96</v>
      </c>
      <c r="D36" s="13" t="n">
        <v>9.2745E-005</v>
      </c>
      <c r="E36" s="1" t="s">
        <v>97</v>
      </c>
    </row>
    <row r="37" customFormat="false" ht="12.8" hidden="false" customHeight="false" outlineLevel="0" collapsed="false">
      <c r="A37" s="1" t="s">
        <v>98</v>
      </c>
      <c r="B37" s="1" t="n">
        <f aca="false">(D34+D38)/2</f>
        <v>5.32135</v>
      </c>
      <c r="C37" s="1" t="s">
        <v>99</v>
      </c>
      <c r="D37" s="1" t="n">
        <f aca="false">D32+D24/(B37*M_dot)</f>
        <v>299.165593943893</v>
      </c>
      <c r="E37" s="1" t="s">
        <v>85</v>
      </c>
    </row>
    <row r="38" customFormat="false" ht="12.8" hidden="false" customHeight="false" outlineLevel="0" collapsed="false">
      <c r="A38" s="1" t="s">
        <v>91</v>
      </c>
      <c r="C38" s="1" t="s">
        <v>100</v>
      </c>
      <c r="D38" s="1" t="n">
        <v>5.4238</v>
      </c>
      <c r="E38" s="1" t="s">
        <v>91</v>
      </c>
    </row>
    <row r="39" customFormat="false" ht="12.8" hidden="false" customHeight="false" outlineLevel="0" collapsed="false">
      <c r="C39" s="1" t="s">
        <v>101</v>
      </c>
      <c r="D39" s="1" t="n">
        <v>0.58213</v>
      </c>
      <c r="E39" s="1" t="s">
        <v>94</v>
      </c>
    </row>
    <row r="40" customFormat="false" ht="12.8" hidden="false" customHeight="false" outlineLevel="0" collapsed="false">
      <c r="C40" s="1" t="s">
        <v>102</v>
      </c>
      <c r="E40" s="1" t="s">
        <v>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41" activeCellId="0" sqref="H41"/>
    </sheetView>
  </sheetViews>
  <sheetFormatPr defaultRowHeight="12.8"/>
  <cols>
    <col collapsed="false" hidden="false" max="1" min="1" style="0" width="11.5204081632653"/>
    <col collapsed="false" hidden="false" max="2" min="2" style="0" width="16.5765306122449"/>
    <col collapsed="false" hidden="false" max="4" min="3" style="0" width="14.4438775510204"/>
    <col collapsed="false" hidden="false" max="11" min="5" style="0" width="11.5204081632653"/>
    <col collapsed="false" hidden="false" max="12" min="12" style="0" width="17.3775510204082"/>
    <col collapsed="false" hidden="false" max="15" min="13" style="0" width="11.5204081632653"/>
    <col collapsed="false" hidden="false" max="17" min="16" style="0" width="17.3775510204082"/>
    <col collapsed="false" hidden="false" max="1025" min="18" style="0" width="11.5204081632653"/>
  </cols>
  <sheetData>
    <row r="1" customFormat="false" ht="12.8" hidden="false" customHeight="false" outlineLevel="0" collapsed="false">
      <c r="A1" s="14" t="s">
        <v>103</v>
      </c>
      <c r="B1" s="14"/>
      <c r="C1" s="14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12.8" hidden="false" customHeight="false" outlineLevel="0" collapsed="false">
      <c r="A2" s="14"/>
      <c r="B2" s="14"/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customFormat="false" ht="12.8" hidden="false" customHeight="false" outlineLevel="0" collapsed="false">
      <c r="B3" s="1"/>
      <c r="C3" s="5"/>
      <c r="D3" s="16"/>
      <c r="E3" s="5"/>
      <c r="F3" s="17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customFormat="false" ht="12.8" hidden="false" customHeight="false" outlineLevel="0" collapsed="false">
      <c r="B4" s="1"/>
      <c r="C4" s="5"/>
      <c r="D4" s="16"/>
      <c r="E4" s="5"/>
      <c r="F4" s="17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customFormat="false" ht="12.8" hidden="false" customHeight="false" outlineLevel="0" collapsed="false">
      <c r="B5" s="1"/>
      <c r="C5" s="5"/>
      <c r="D5" s="16"/>
      <c r="E5" s="5"/>
      <c r="F5" s="17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customFormat="false" ht="12.8" hidden="false" customHeight="false" outlineLevel="0" collapsed="false">
      <c r="C6" s="4" t="s">
        <v>104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customFormat="false" ht="12.8" hidden="false" customHeight="false" outlineLevel="0" collapsed="false">
      <c r="B7" s="0" t="s">
        <v>105</v>
      </c>
      <c r="D7" s="10" t="n">
        <f aca="false">D8</f>
        <v>0.00211162829960637</v>
      </c>
      <c r="E7" s="10" t="n">
        <f aca="false">E8</f>
        <v>0.00472174442113214</v>
      </c>
      <c r="F7" s="0" t="n">
        <f aca="false">F8-E8</f>
        <v>0.00289183968781947</v>
      </c>
      <c r="G7" s="0" t="n">
        <f aca="false">G8-F8</f>
        <v>0.00294455738908029</v>
      </c>
      <c r="H7" s="0" t="n">
        <f aca="false">H8-G8</f>
        <v>0.0028801787119419</v>
      </c>
      <c r="I7" s="0" t="n">
        <f aca="false">I8-H8</f>
        <v>0.000275590551181102</v>
      </c>
      <c r="J7" s="0" t="n">
        <f aca="false">J8-I8</f>
        <v>0.0018700787401574</v>
      </c>
      <c r="K7" s="1" t="s">
        <v>106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customFormat="false" ht="12.8" hidden="false" customHeight="false" outlineLevel="0" collapsed="false">
      <c r="B8" s="0" t="s">
        <v>107</v>
      </c>
      <c r="C8" s="10" t="n">
        <v>0</v>
      </c>
      <c r="D8" s="10" t="n">
        <v>0.00211162829960637</v>
      </c>
      <c r="E8" s="10" t="n">
        <v>0.00472174442113214</v>
      </c>
      <c r="F8" s="10" t="n">
        <v>0.00761358410895161</v>
      </c>
      <c r="G8" s="10" t="n">
        <v>0.0105581414980319</v>
      </c>
      <c r="H8" s="10" t="n">
        <v>0.0134383202099738</v>
      </c>
      <c r="I8" s="10" t="n">
        <v>0.0137139107611549</v>
      </c>
      <c r="J8" s="10" t="n">
        <v>0.0155839895013123</v>
      </c>
      <c r="K8" s="18" t="n">
        <f aca="false">(t_in+q_lin*dz*2/(M_dot*cp_in))*9/5+32</f>
        <v>555.682193565694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customFormat="false" ht="12.8" hidden="false" customHeight="false" outlineLevel="0" collapsed="false">
      <c r="A9" s="0" t="s">
        <v>108</v>
      </c>
      <c r="B9" s="1" t="s">
        <v>109</v>
      </c>
      <c r="C9" s="5" t="n">
        <f aca="false">1/3*(4*D9-E9)</f>
        <v>726.271369</v>
      </c>
      <c r="D9" s="19" t="n">
        <v>723.205422</v>
      </c>
      <c r="E9" s="5" t="n">
        <v>714.007581</v>
      </c>
      <c r="F9" s="5" t="n">
        <v>693.626284</v>
      </c>
      <c r="G9" s="5" t="n">
        <v>662.496825</v>
      </c>
      <c r="H9" s="5" t="n">
        <v>621.898017</v>
      </c>
      <c r="I9" s="5" t="n">
        <v>572.63109</v>
      </c>
      <c r="J9" s="5" t="n">
        <v>562.767262</v>
      </c>
      <c r="K9" s="10" t="n">
        <f aca="false">K8</f>
        <v>555.682193565694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customFormat="false" ht="12.8" hidden="false" customHeight="false" outlineLevel="0" collapsed="false">
      <c r="A10" s="0" t="s">
        <v>108</v>
      </c>
      <c r="B10" s="1" t="s">
        <v>110</v>
      </c>
      <c r="C10" s="5" t="n">
        <f aca="false">1/3*(4*D10-E10)</f>
        <v>726.228289</v>
      </c>
      <c r="D10" s="20" t="n">
        <v>723.16334</v>
      </c>
      <c r="E10" s="0" t="n">
        <v>713.968493</v>
      </c>
      <c r="F10" s="0" t="n">
        <v>693.593477</v>
      </c>
      <c r="G10" s="0" t="n">
        <v>662.47267</v>
      </c>
      <c r="H10" s="0" t="n">
        <v>621.883528</v>
      </c>
      <c r="I10" s="0" t="n">
        <v>572.627028</v>
      </c>
      <c r="J10" s="0" t="n">
        <v>562.76534</v>
      </c>
      <c r="K10" s="10" t="n">
        <f aca="false">K11</f>
        <v>555.682193565694</v>
      </c>
      <c r="M10" s="15" t="s">
        <v>111</v>
      </c>
      <c r="N10" s="15" t="e">
        <f aca="false">(N9-#REF!)*t_btu_kw/t_lbm_kg*M_dot/L_chan</f>
        <v>#REF!</v>
      </c>
      <c r="O10" s="15" t="e">
        <f aca="false">(O9-#REF!)*t_btu_kw/t_lbm_kg*M_dot/L_chan</f>
        <v>#REF!</v>
      </c>
      <c r="P10" s="15" t="e">
        <f aca="false">(P9-#REF!)*t_btu_kw/t_lbm_kg*M_dot/L_chan</f>
        <v>#REF!</v>
      </c>
      <c r="Q10" s="15" t="e">
        <f aca="false">(Q9-#REF!)*M_dot/L_chan</f>
        <v>#REF!</v>
      </c>
      <c r="R10" s="15" t="e">
        <f aca="false">(R9-#REF!)*M_dot/L_chan</f>
        <v>#REF!</v>
      </c>
      <c r="S10" s="15" t="e">
        <f aca="false">(S9-#REF!)*M_dot/L_chan</f>
        <v>#REF!</v>
      </c>
      <c r="T10" s="15" t="n">
        <f aca="false">T9*M_dot/L_chan</f>
        <v>0</v>
      </c>
      <c r="U10" s="15" t="n">
        <f aca="false">U9*M_dot/L_chan</f>
        <v>0</v>
      </c>
      <c r="V10" s="15" t="n">
        <f aca="false">V9*M_dot/L_chan</f>
        <v>0</v>
      </c>
      <c r="W10" s="15" t="n">
        <f aca="false">W9/L_chan</f>
        <v>0</v>
      </c>
      <c r="X10" s="15" t="n">
        <f aca="false">X9/L_chan</f>
        <v>0</v>
      </c>
      <c r="Y10" s="15" t="n">
        <f aca="false">Y9/L_chan</f>
        <v>0</v>
      </c>
      <c r="Z10" s="15"/>
      <c r="AA10" s="15"/>
      <c r="AB10" s="15"/>
      <c r="AC10" s="15"/>
    </row>
    <row r="11" customFormat="false" ht="12.8" hidden="false" customHeight="false" outlineLevel="0" collapsed="false">
      <c r="A11" s="0" t="s">
        <v>108</v>
      </c>
      <c r="B11" s="1" t="s">
        <v>112</v>
      </c>
      <c r="C11" s="5" t="n">
        <f aca="false">1/3*(4*D11-E11)</f>
        <v>726.280216666667</v>
      </c>
      <c r="D11" s="20" t="n">
        <v>723.214065</v>
      </c>
      <c r="E11" s="0" t="n">
        <v>714.01561</v>
      </c>
      <c r="F11" s="10" t="n">
        <v>693.633023</v>
      </c>
      <c r="G11" s="10" t="n">
        <v>662.501786</v>
      </c>
      <c r="H11" s="10" t="n">
        <v>621.900993</v>
      </c>
      <c r="I11" s="10" t="n">
        <v>572.631925</v>
      </c>
      <c r="J11" s="10" t="n">
        <v>562.767657</v>
      </c>
      <c r="K11" s="10" t="n">
        <f aca="false">K9</f>
        <v>555.682193565694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customFormat="false" ht="12.8" hidden="false" customHeight="false" outlineLevel="0" collapsed="false">
      <c r="A12" s="0" t="s">
        <v>108</v>
      </c>
      <c r="B12" s="1" t="s">
        <v>113</v>
      </c>
      <c r="C12" s="5" t="n">
        <f aca="false">1/3*(4*D12-E12)</f>
        <v>724.904514666667</v>
      </c>
      <c r="D12" s="0" t="n">
        <v>722.081517</v>
      </c>
      <c r="E12" s="0" t="n">
        <v>713.612524</v>
      </c>
      <c r="F12" s="0" t="n">
        <v>693.500607</v>
      </c>
      <c r="G12" s="0" t="n">
        <v>662.531478</v>
      </c>
      <c r="H12" s="0" t="n">
        <v>621.914427</v>
      </c>
      <c r="I12" s="0" t="n">
        <v>572.645359</v>
      </c>
      <c r="J12" s="0" t="n">
        <v>562.767661</v>
      </c>
      <c r="K12" s="10" t="n">
        <f aca="false">K10</f>
        <v>555.682193565694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customFormat="false" ht="12.8" hidden="false" customHeight="false" outlineLevel="0" collapsed="false">
      <c r="C13" s="4" t="s">
        <v>114</v>
      </c>
      <c r="K13" s="0" t="e">
        <f aca="false">D7/#REF!*I13</f>
        <v>#REF!</v>
      </c>
    </row>
    <row r="14" customFormat="false" ht="12.8" hidden="false" customHeight="false" outlineLevel="0" collapsed="false">
      <c r="B14" s="1" t="s">
        <v>115</v>
      </c>
      <c r="C14" s="5" t="n">
        <f aca="false">(C8)*t_ft_m*100</f>
        <v>0</v>
      </c>
      <c r="D14" s="5" t="n">
        <f aca="false">(D8)*t_ft_m*100</f>
        <v>0.0643624305720022</v>
      </c>
      <c r="E14" s="5" t="n">
        <f aca="false">(E8)*t_ft_m*100</f>
        <v>0.143918769956108</v>
      </c>
      <c r="F14" s="5" t="n">
        <f aca="false">(F8)*t_ft_m*100</f>
        <v>0.232062043640845</v>
      </c>
      <c r="G14" s="5" t="n">
        <f aca="false">(G8)*t_ft_m*100</f>
        <v>0.321812152860012</v>
      </c>
      <c r="H14" s="5" t="n">
        <f aca="false">(H8)*t_ft_m*100</f>
        <v>0.409600000000001</v>
      </c>
      <c r="I14" s="5" t="n">
        <f aca="false">(I8)*t_ft_m*100</f>
        <v>0.418000000000001</v>
      </c>
      <c r="J14" s="5" t="n">
        <f aca="false">(J8)*t_ft_m*100</f>
        <v>0.474999999999999</v>
      </c>
    </row>
    <row r="15" customFormat="false" ht="12.8" hidden="false" customHeight="false" outlineLevel="0" collapsed="false">
      <c r="A15" s="0" t="s">
        <v>116</v>
      </c>
      <c r="B15" s="1" t="s">
        <v>117</v>
      </c>
      <c r="C15" s="5" t="n">
        <f aca="false">q_dot*1000/(4*k_fuel)*((R_fuel/100)^2)*(1-(C14/R_fuel)^2)+delta_gap+delta_clad</f>
        <v>92.0569623145947</v>
      </c>
      <c r="D15" s="5" t="n">
        <f aca="false">q_dot*1000/(4*k_fuel)*((R_fuel/100)^2)*(1-(D14/R_fuel)^2)+delta_gap+delta_clad</f>
        <v>90.5952919884238</v>
      </c>
      <c r="E15" s="5" t="n">
        <f aca="false">q_dot*1000/(4*k_fuel)*((R_fuel/100)^2)*(1-(E14/R_fuel)^2)+delta_gap+delta_clad</f>
        <v>84.7486106837404</v>
      </c>
      <c r="F15" s="5" t="n">
        <f aca="false">q_dot*1000/(4*k_fuel)*((R_fuel/100)^2)*(1-(F14/R_fuel)^2)+delta_gap+delta_clad</f>
        <v>73.0552480743736</v>
      </c>
      <c r="G15" s="5" t="n">
        <f aca="false">q_dot*1000/(4*k_fuel)*((R_fuel/100)^2)*(1-(G14/R_fuel)^2)+delta_gap+delta_clad</f>
        <v>55.5152041603232</v>
      </c>
      <c r="H15" s="5" t="n">
        <f aca="false">delta_gap+delta_clad</f>
        <v>32.8593141046753</v>
      </c>
      <c r="I15" s="5" t="n">
        <f aca="false">delta_clad</f>
        <v>5.4876097013893</v>
      </c>
      <c r="J15" s="5" t="n">
        <v>0</v>
      </c>
      <c r="K15" s="5" t="n">
        <f aca="false">-delta_fluid</f>
        <v>-3.96106367480532</v>
      </c>
      <c r="L15" s="5"/>
      <c r="M15" s="3" t="s">
        <v>118</v>
      </c>
      <c r="N15" s="8"/>
      <c r="O15" s="1"/>
      <c r="P15" s="1"/>
      <c r="Q15" s="1"/>
      <c r="R15" s="1"/>
      <c r="S15" s="1"/>
      <c r="T15" s="1"/>
      <c r="U15" s="1"/>
    </row>
    <row r="16" customFormat="false" ht="12.8" hidden="false" customHeight="false" outlineLevel="0" collapsed="false">
      <c r="A16" s="0" t="s">
        <v>116</v>
      </c>
      <c r="B16" s="1" t="s">
        <v>109</v>
      </c>
      <c r="C16" s="5" t="n">
        <f aca="false">(C9-$J9)*t_R_K</f>
        <v>90.8356150000001</v>
      </c>
      <c r="D16" s="5" t="n">
        <f aca="false">(D9-$J9)*t_R_K</f>
        <v>89.1323111111111</v>
      </c>
      <c r="E16" s="5" t="n">
        <f aca="false">(E9-$J9)*t_R_K</f>
        <v>84.0223994444444</v>
      </c>
      <c r="F16" s="5" t="n">
        <f aca="false">(F9-$J9)*t_R_K</f>
        <v>72.6994566666667</v>
      </c>
      <c r="G16" s="5" t="n">
        <f aca="false">(G9-$J9)*t_R_K</f>
        <v>55.4053127777778</v>
      </c>
      <c r="H16" s="5" t="n">
        <f aca="false">(H9-$J9)*t_R_K</f>
        <v>32.8504194444445</v>
      </c>
      <c r="I16" s="5" t="n">
        <f aca="false">(I9-$J9)*t_R_K</f>
        <v>5.47990444444445</v>
      </c>
      <c r="J16" s="5" t="n">
        <f aca="false">(J9-$J9)*t_R_K</f>
        <v>0</v>
      </c>
      <c r="K16" s="5" t="n">
        <f aca="false">(K9-$J9)*t_R_K</f>
        <v>-3.93614913016999</v>
      </c>
      <c r="L16" s="1" t="s">
        <v>109</v>
      </c>
      <c r="M16" s="7" t="n">
        <f aca="false">C16-C$15</f>
        <v>-1.2213473145946</v>
      </c>
      <c r="N16" s="7" t="n">
        <f aca="false">D16-D$15</f>
        <v>-1.46298087731267</v>
      </c>
      <c r="O16" s="7" t="n">
        <f aca="false">E16-E$15</f>
        <v>-0.726211239295964</v>
      </c>
      <c r="P16" s="7" t="n">
        <f aca="false">F16-F$15</f>
        <v>-0.355791407706889</v>
      </c>
      <c r="Q16" s="7" t="n">
        <f aca="false">G16-G$15</f>
        <v>-0.109891382545378</v>
      </c>
      <c r="R16" s="7" t="n">
        <f aca="false">H16-H$15</f>
        <v>-0.00889466023086527</v>
      </c>
      <c r="S16" s="7" t="n">
        <f aca="false">I16-I$15</f>
        <v>-0.00770525694484814</v>
      </c>
      <c r="T16" s="7" t="n">
        <f aca="false">J16-J$15</f>
        <v>0</v>
      </c>
      <c r="U16" s="7" t="n">
        <f aca="false">K16-K$15</f>
        <v>0.0249145446353349</v>
      </c>
      <c r="V16" s="7" t="e">
        <f aca="false">L17-L$16</f>
        <v>#VALUE!</v>
      </c>
      <c r="W16" s="7" t="n">
        <f aca="false">M17-M$16</f>
        <v>-0.0228655555556827</v>
      </c>
      <c r="X16" s="7" t="n">
        <f aca="false">N17-N$16</f>
        <v>-0.0223111111111791</v>
      </c>
      <c r="Y16" s="7" t="n">
        <f aca="false">O17-O$16</f>
        <v>-0.0206477777778105</v>
      </c>
    </row>
    <row r="17" customFormat="false" ht="12.8" hidden="false" customHeight="false" outlineLevel="0" collapsed="false">
      <c r="A17" s="0" t="s">
        <v>116</v>
      </c>
      <c r="B17" s="1" t="s">
        <v>110</v>
      </c>
      <c r="C17" s="5" t="n">
        <f aca="false">(C10-$J10)*t_R_K</f>
        <v>90.8127494444444</v>
      </c>
      <c r="D17" s="5" t="n">
        <f aca="false">(D10-$J10)*t_R_K</f>
        <v>89.11</v>
      </c>
      <c r="E17" s="5" t="n">
        <f aca="false">(E10-$J10)*t_R_K</f>
        <v>84.0017516666666</v>
      </c>
      <c r="F17" s="5" t="n">
        <f aca="false">(F10-$J10)*t_R_K</f>
        <v>72.6822983333333</v>
      </c>
      <c r="G17" s="5" t="n">
        <f aca="false">(G10-$J10)*t_R_K</f>
        <v>55.3929611111111</v>
      </c>
      <c r="H17" s="5" t="n">
        <f aca="false">(H10-$J10)*t_R_K</f>
        <v>32.8434377777777</v>
      </c>
      <c r="I17" s="5" t="n">
        <f aca="false">(I10-$J10)*t_R_K</f>
        <v>5.47871555555553</v>
      </c>
      <c r="J17" s="5" t="n">
        <f aca="false">(J10-$J10)*t_R_K</f>
        <v>0</v>
      </c>
      <c r="K17" s="5" t="n">
        <f aca="false">(K10-$J10)*t_R_K</f>
        <v>-3.93508135239226</v>
      </c>
      <c r="L17" s="1" t="s">
        <v>110</v>
      </c>
      <c r="M17" s="7" t="n">
        <f aca="false">C17-C$15</f>
        <v>-1.24421287015028</v>
      </c>
      <c r="N17" s="7" t="n">
        <f aca="false">D17-D$15</f>
        <v>-1.48529198842385</v>
      </c>
      <c r="O17" s="7" t="n">
        <f aca="false">E17-E$15</f>
        <v>-0.746859017073774</v>
      </c>
      <c r="P17" s="7" t="n">
        <f aca="false">F17-F$15</f>
        <v>-0.372949741040287</v>
      </c>
      <c r="Q17" s="7" t="n">
        <f aca="false">G17-G$15</f>
        <v>-0.122243049212059</v>
      </c>
      <c r="R17" s="7" t="n">
        <f aca="false">H17-H$15</f>
        <v>-0.0158763268975832</v>
      </c>
      <c r="S17" s="7" t="n">
        <f aca="false">I17-I$15</f>
        <v>-0.00889414583376702</v>
      </c>
      <c r="T17" s="7" t="n">
        <f aca="false">J17-J$15</f>
        <v>0</v>
      </c>
      <c r="U17" s="7" t="n">
        <f aca="false">K17-K$15</f>
        <v>0.0259823224130695</v>
      </c>
      <c r="V17" s="7" t="e">
        <f aca="false">L18-L$16</f>
        <v>#VALUE!</v>
      </c>
      <c r="W17" s="7" t="n">
        <f aca="false">M18-M$16</f>
        <v>0.00469592592587276</v>
      </c>
      <c r="X17" s="7" t="n">
        <f aca="false">N18-N$16</f>
        <v>0.00458222222221139</v>
      </c>
      <c r="Y17" s="7" t="n">
        <f aca="false">O18-O$16</f>
        <v>0.004241111111142</v>
      </c>
    </row>
    <row r="18" customFormat="false" ht="12.8" hidden="false" customHeight="false" outlineLevel="0" collapsed="false">
      <c r="A18" s="0" t="s">
        <v>116</v>
      </c>
      <c r="B18" s="1" t="s">
        <v>112</v>
      </c>
      <c r="C18" s="5" t="n">
        <f aca="false">(C11-$J11)*t_R_K</f>
        <v>90.8403109259259</v>
      </c>
      <c r="D18" s="5" t="n">
        <f aca="false">(D11-$J11)*t_R_K</f>
        <v>89.1368933333333</v>
      </c>
      <c r="E18" s="5" t="n">
        <f aca="false">(E11-$J11)*t_R_K</f>
        <v>84.0266405555556</v>
      </c>
      <c r="F18" s="5" t="n">
        <f aca="false">(F11-$J11)*t_R_K</f>
        <v>72.7029811111111</v>
      </c>
      <c r="G18" s="5" t="n">
        <f aca="false">(G11-$J11)*t_R_K</f>
        <v>55.4078494444445</v>
      </c>
      <c r="H18" s="5" t="n">
        <f aca="false">(H11-$J11)*t_R_K</f>
        <v>32.8518533333333</v>
      </c>
      <c r="I18" s="5" t="n">
        <f aca="false">(I11-$J11)*t_R_K</f>
        <v>5.48014888888891</v>
      </c>
      <c r="J18" s="5" t="n">
        <f aca="false">(J11-$J11)*t_R_K</f>
        <v>0</v>
      </c>
      <c r="K18" s="5" t="n">
        <f aca="false">(K11-$J11)*t_R_K</f>
        <v>-3.93636857461445</v>
      </c>
      <c r="L18" s="1" t="s">
        <v>112</v>
      </c>
      <c r="M18" s="7" t="n">
        <f aca="false">C18-C$15</f>
        <v>-1.21665138866872</v>
      </c>
      <c r="N18" s="7" t="n">
        <f aca="false">D18-D$15</f>
        <v>-1.45839865509046</v>
      </c>
      <c r="O18" s="7" t="n">
        <f aca="false">E18-E$15</f>
        <v>-0.721970128184822</v>
      </c>
      <c r="P18" s="7" t="n">
        <f aca="false">F18-F$15</f>
        <v>-0.352266963262494</v>
      </c>
      <c r="Q18" s="7" t="n">
        <f aca="false">G18-G$15</f>
        <v>-0.107354715878678</v>
      </c>
      <c r="R18" s="7" t="n">
        <f aca="false">H18-H$15</f>
        <v>-0.00746077134199652</v>
      </c>
      <c r="S18" s="7" t="n">
        <f aca="false">I18-I$15</f>
        <v>-0.00746081250038877</v>
      </c>
      <c r="T18" s="7" t="n">
        <f aca="false">J18-J$15</f>
        <v>0</v>
      </c>
      <c r="U18" s="7" t="n">
        <f aca="false">K18-K$15</f>
        <v>0.0246951001908764</v>
      </c>
      <c r="V18" s="7" t="e">
        <f aca="false">L19-L$16</f>
        <v>#VALUE!</v>
      </c>
      <c r="W18" s="7" t="n">
        <f aca="false">M19-M$16</f>
        <v>-0.759585185185316</v>
      </c>
      <c r="X18" s="7" t="n">
        <f aca="false">N19-N$16</f>
        <v>-0.624613333333357</v>
      </c>
      <c r="Y18" s="7" t="n">
        <f aca="false">O19-O$16</f>
        <v>-0.219697777777753</v>
      </c>
    </row>
    <row r="19" customFormat="false" ht="12.8" hidden="false" customHeight="false" outlineLevel="0" collapsed="false">
      <c r="A19" s="0" t="s">
        <v>116</v>
      </c>
      <c r="B19" s="1" t="s">
        <v>113</v>
      </c>
      <c r="C19" s="5" t="n">
        <f aca="false">(C12-$J12)*t_R_K</f>
        <v>90.0760298148147</v>
      </c>
      <c r="D19" s="5" t="n">
        <f aca="false">(D12-$J12)*t_R_K</f>
        <v>88.5076977777778</v>
      </c>
      <c r="E19" s="5" t="n">
        <f aca="false">(E12-$J12)*t_R_K</f>
        <v>83.8027016666667</v>
      </c>
      <c r="F19" s="5" t="n">
        <f aca="false">(F12-$J12)*t_R_K</f>
        <v>72.6294144444444</v>
      </c>
      <c r="G19" s="5" t="n">
        <f aca="false">(G12-$J12)*t_R_K</f>
        <v>55.4243427777778</v>
      </c>
      <c r="H19" s="5" t="n">
        <f aca="false">(H12-$J12)*t_R_K</f>
        <v>32.8593144444445</v>
      </c>
      <c r="I19" s="5" t="n">
        <f aca="false">(I12-$J12)*t_R_K</f>
        <v>5.48761000000001</v>
      </c>
      <c r="J19" s="5" t="n">
        <f aca="false">(J12-$J12)*t_R_K</f>
        <v>0</v>
      </c>
      <c r="K19" s="5" t="n">
        <f aca="false">(K12-$J12)*t_R_K</f>
        <v>-3.93637079683667</v>
      </c>
      <c r="L19" s="1" t="s">
        <v>113</v>
      </c>
      <c r="M19" s="7" t="n">
        <f aca="false">C19-C$15</f>
        <v>-1.98093249977991</v>
      </c>
      <c r="N19" s="7" t="n">
        <f aca="false">D19-D$15</f>
        <v>-2.08759421064603</v>
      </c>
      <c r="O19" s="7" t="n">
        <f aca="false">E19-E$15</f>
        <v>-0.945909017073717</v>
      </c>
      <c r="P19" s="7" t="n">
        <f aca="false">F19-F$15</f>
        <v>-0.425833629929173</v>
      </c>
      <c r="Q19" s="7" t="n">
        <f aca="false">G19-G$15</f>
        <v>-0.0908613825453628</v>
      </c>
      <c r="R19" s="7" t="n">
        <f aca="false">H19-H$15</f>
        <v>3.3976916569145E-007</v>
      </c>
      <c r="S19" s="7" t="n">
        <f aca="false">I19-I$15</f>
        <v>2.9861070593995E-007</v>
      </c>
      <c r="T19" s="7" t="n">
        <f aca="false">J19-J$15</f>
        <v>0</v>
      </c>
      <c r="U19" s="7" t="n">
        <f aca="false">K19-K$15</f>
        <v>0.0246928779686595</v>
      </c>
      <c r="V19" s="7" t="e">
        <f aca="false">L20-L$16</f>
        <v>#VALUE!</v>
      </c>
      <c r="W19" s="7" t="n">
        <f aca="false">M20-M$16</f>
        <v>1.2213473145946</v>
      </c>
      <c r="X19" s="7" t="n">
        <f aca="false">N20-N$16</f>
        <v>1.46298087731267</v>
      </c>
      <c r="Y19" s="7" t="n">
        <f aca="false">O20-O$16</f>
        <v>0.726211239295964</v>
      </c>
    </row>
    <row r="20" customFormat="false" ht="12.8" hidden="false" customHeight="false" outlineLevel="0" collapsed="false">
      <c r="B20" s="1"/>
      <c r="C20" s="5"/>
      <c r="D20" s="5"/>
      <c r="E20" s="5"/>
      <c r="F20" s="5"/>
      <c r="G20" s="5"/>
      <c r="H20" s="5"/>
      <c r="I20" s="5"/>
      <c r="J20" s="5"/>
      <c r="K20" s="5"/>
    </row>
    <row r="21" customFormat="false" ht="12.8" hidden="false" customHeight="false" outlineLevel="0" collapsed="false">
      <c r="C21" s="4" t="s">
        <v>119</v>
      </c>
    </row>
    <row r="22" customFormat="false" ht="12.8" hidden="false" customHeight="false" outlineLevel="0" collapsed="false">
      <c r="B22" s="1" t="s">
        <v>115</v>
      </c>
      <c r="C22" s="8" t="n">
        <f aca="false">(C8)*t_ft_m*100</f>
        <v>0</v>
      </c>
      <c r="D22" s="8" t="n">
        <f aca="false">(D8)*t_ft_m*100</f>
        <v>0.0643624305720022</v>
      </c>
      <c r="E22" s="8" t="n">
        <f aca="false">(E8)*t_ft_m*100</f>
        <v>0.143918769956108</v>
      </c>
      <c r="F22" s="8" t="n">
        <f aca="false">(F8)*t_ft_m*100</f>
        <v>0.232062043640845</v>
      </c>
      <c r="G22" s="8" t="n">
        <f aca="false">(G8)*t_ft_m*100</f>
        <v>0.321812152860012</v>
      </c>
      <c r="H22" s="8" t="n">
        <f aca="false">(H8)*t_ft_m*100</f>
        <v>0.409600000000001</v>
      </c>
      <c r="I22" s="8" t="n">
        <f aca="false">(I8)*t_ft_m*100</f>
        <v>0.418000000000001</v>
      </c>
      <c r="J22" s="8" t="n">
        <f aca="false">(J8)*t_ft_m*100</f>
        <v>0.474999999999999</v>
      </c>
      <c r="K22" s="8"/>
    </row>
    <row r="23" customFormat="false" ht="12.8" hidden="false" customHeight="false" outlineLevel="0" collapsed="false">
      <c r="A23" s="0" t="s">
        <v>120</v>
      </c>
      <c r="B23" s="1" t="s">
        <v>117</v>
      </c>
      <c r="C23" s="5" t="n">
        <f aca="false">C15+$K23-$K15</f>
        <v>386.952577970341</v>
      </c>
      <c r="D23" s="5" t="n">
        <f aca="false">D15+$K23-$K15</f>
        <v>385.49090764417</v>
      </c>
      <c r="E23" s="5" t="n">
        <f aca="false">E15+$K23-$K15</f>
        <v>379.644226339487</v>
      </c>
      <c r="F23" s="5" t="n">
        <f aca="false">F15+$K23-$K15</f>
        <v>367.95086373012</v>
      </c>
      <c r="G23" s="5" t="n">
        <f aca="false">G15+$K23-$K15</f>
        <v>350.41081981607</v>
      </c>
      <c r="H23" s="5" t="n">
        <f aca="false">H15+$K23-$K15</f>
        <v>327.754929760422</v>
      </c>
      <c r="I23" s="5" t="n">
        <f aca="false">I15+$K23-$K15</f>
        <v>300.383225357136</v>
      </c>
      <c r="J23" s="5" t="n">
        <f aca="false">J15+$K23-$K15</f>
        <v>294.895615655746</v>
      </c>
      <c r="K23" s="5" t="n">
        <f aca="false">5/9*(K8-32)</f>
        <v>290.934551980941</v>
      </c>
      <c r="L23" s="5"/>
      <c r="M23" s="3" t="s">
        <v>121</v>
      </c>
      <c r="N23" s="8"/>
      <c r="O23" s="1"/>
      <c r="P23" s="1"/>
      <c r="Q23" s="1"/>
      <c r="R23" s="1"/>
      <c r="S23" s="1"/>
      <c r="T23" s="1"/>
      <c r="U23" s="1"/>
    </row>
    <row r="24" customFormat="false" ht="12.8" hidden="false" customHeight="false" outlineLevel="0" collapsed="false">
      <c r="A24" s="0" t="s">
        <v>120</v>
      </c>
      <c r="B24" s="1" t="s">
        <v>109</v>
      </c>
      <c r="C24" s="5" t="n">
        <f aca="false">C16+$K24-$K16</f>
        <v>385.706316111111</v>
      </c>
      <c r="D24" s="5" t="n">
        <f aca="false">D16+$K24-$K16</f>
        <v>384.003012222222</v>
      </c>
      <c r="E24" s="5" t="n">
        <f aca="false">E16+$K24-$K16</f>
        <v>378.893100555556</v>
      </c>
      <c r="F24" s="5" t="n">
        <f aca="false">F16+$K24-$K16</f>
        <v>367.570157777778</v>
      </c>
      <c r="G24" s="5" t="n">
        <f aca="false">G16+$K24-$K16</f>
        <v>350.276013888889</v>
      </c>
      <c r="H24" s="5" t="n">
        <f aca="false">H16+$K24-$K16</f>
        <v>327.721120555556</v>
      </c>
      <c r="I24" s="5" t="n">
        <f aca="false">I16+$K24-$K16</f>
        <v>300.350605555556</v>
      </c>
      <c r="J24" s="5" t="n">
        <f aca="false">J16+$K24-$K16</f>
        <v>294.870701111111</v>
      </c>
      <c r="K24" s="5" t="n">
        <f aca="false">5/9*(K9-32)</f>
        <v>290.934551980941</v>
      </c>
      <c r="L24" s="1" t="s">
        <v>109</v>
      </c>
      <c r="M24" s="21" t="n">
        <f aca="false">(C24-C$23)/C$23</f>
        <v>-0.00322070953956899</v>
      </c>
      <c r="N24" s="21" t="n">
        <f aca="false">(D24-D$23)/D$23</f>
        <v>-0.00385974193539581</v>
      </c>
      <c r="O24" s="21" t="n">
        <f aca="false">(E24-E$23)/E$23</f>
        <v>-0.0019784991626861</v>
      </c>
      <c r="P24" s="21" t="n">
        <f aca="false">(F24-F$23)/F$23</f>
        <v>-0.00103466519546317</v>
      </c>
      <c r="Q24" s="21" t="n">
        <f aca="false">(G24-G$23)/G$23</f>
        <v>-0.000384708232615106</v>
      </c>
      <c r="R24" s="21" t="n">
        <f aca="false">(H24-H$23)/H$23</f>
        <v>-0.000103153917138206</v>
      </c>
      <c r="S24" s="21" t="n">
        <f aca="false">(I24-I$23)/I$23</f>
        <v>-0.000108593952080283</v>
      </c>
      <c r="T24" s="21" t="n">
        <f aca="false">(J24-J$23)/J$23</f>
        <v>-8.4485978470357E-005</v>
      </c>
      <c r="U24" s="21" t="n">
        <f aca="false">(K24-K$23)/K$23</f>
        <v>0</v>
      </c>
      <c r="V24" s="21" t="e">
        <f aca="false">(L24-L$23)/L$23</f>
        <v>#VALUE!</v>
      </c>
      <c r="W24" s="21" t="e">
        <f aca="false">(M24-M$23)/M$23</f>
        <v>#VALUE!</v>
      </c>
      <c r="X24" s="21" t="e">
        <f aca="false">(N24-N$23)/N$23</f>
        <v>#DIV/0!</v>
      </c>
      <c r="Y24" s="21" t="e">
        <f aca="false">(O24-O$23)/O$23</f>
        <v>#DIV/0!</v>
      </c>
    </row>
    <row r="25" customFormat="false" ht="12.8" hidden="false" customHeight="false" outlineLevel="0" collapsed="false">
      <c r="A25" s="0" t="s">
        <v>120</v>
      </c>
      <c r="B25" s="1" t="s">
        <v>110</v>
      </c>
      <c r="C25" s="5" t="n">
        <f aca="false">C17+$K25-$K17</f>
        <v>385.682382777778</v>
      </c>
      <c r="D25" s="5" t="n">
        <f aca="false">D17+$K25-$K17</f>
        <v>383.979633333333</v>
      </c>
      <c r="E25" s="5" t="n">
        <f aca="false">E17+$K25-$K17</f>
        <v>378.871385</v>
      </c>
      <c r="F25" s="5" t="n">
        <f aca="false">F17+$K25-$K17</f>
        <v>367.551931666667</v>
      </c>
      <c r="G25" s="5" t="n">
        <f aca="false">G17+$K25-$K17</f>
        <v>350.262594444444</v>
      </c>
      <c r="H25" s="5" t="n">
        <f aca="false">H17+$K25-$K17</f>
        <v>327.713071111111</v>
      </c>
      <c r="I25" s="5" t="n">
        <f aca="false">I17+$K25-$K17</f>
        <v>300.348348888889</v>
      </c>
      <c r="J25" s="5" t="n">
        <f aca="false">J17+$K25-$K17</f>
        <v>294.869633333333</v>
      </c>
      <c r="K25" s="5" t="n">
        <f aca="false">5/9*(K10-32)</f>
        <v>290.934551980941</v>
      </c>
      <c r="L25" s="1" t="s">
        <v>110</v>
      </c>
      <c r="M25" s="21" t="n">
        <f aca="false">(C25-C$23)/C$23</f>
        <v>-0.00328256035720401</v>
      </c>
      <c r="N25" s="21" t="n">
        <f aca="false">(D25-D$23)/D$23</f>
        <v>-0.00392038899198077</v>
      </c>
      <c r="O25" s="21" t="n">
        <f aca="false">(E25-E$23)/E$23</f>
        <v>-0.00203569891458257</v>
      </c>
      <c r="P25" s="21" t="n">
        <f aca="false">(F25-F$23)/F$23</f>
        <v>-0.00108419928522274</v>
      </c>
      <c r="Q25" s="21" t="n">
        <f aca="false">(G25-G$23)/G$23</f>
        <v>-0.000423004551351688</v>
      </c>
      <c r="R25" s="21" t="n">
        <f aca="false">(H25-H$23)/H$23</f>
        <v>-0.000127713256185635</v>
      </c>
      <c r="S25" s="21" t="n">
        <f aca="false">(I25-I$23)/I$23</f>
        <v>-0.000116106577540545</v>
      </c>
      <c r="T25" s="21" t="n">
        <f aca="false">(J25-J$23)/J$23</f>
        <v>-8.81068453840961E-005</v>
      </c>
      <c r="U25" s="21" t="n">
        <f aca="false">(K25-K$23)/K$23</f>
        <v>0</v>
      </c>
      <c r="V25" s="21" t="e">
        <f aca="false">(L25-L$23)/L$23</f>
        <v>#VALUE!</v>
      </c>
      <c r="W25" s="21" t="e">
        <f aca="false">(M25-M$23)/M$23</f>
        <v>#VALUE!</v>
      </c>
      <c r="X25" s="21" t="e">
        <f aca="false">(N25-N$23)/N$23</f>
        <v>#DIV/0!</v>
      </c>
      <c r="Y25" s="21" t="e">
        <f aca="false">(O25-O$23)/O$23</f>
        <v>#DIV/0!</v>
      </c>
    </row>
    <row r="26" customFormat="false" ht="12.8" hidden="false" customHeight="false" outlineLevel="0" collapsed="false">
      <c r="A26" s="0" t="s">
        <v>120</v>
      </c>
      <c r="B26" s="1" t="s">
        <v>112</v>
      </c>
      <c r="C26" s="5" t="n">
        <f aca="false">C18+$K26-$K18</f>
        <v>385.711231481481</v>
      </c>
      <c r="D26" s="5" t="n">
        <f aca="false">D18+$K26-$K18</f>
        <v>384.007813888889</v>
      </c>
      <c r="E26" s="5" t="n">
        <f aca="false">E18+$K26-$K18</f>
        <v>378.897561111111</v>
      </c>
      <c r="F26" s="5" t="n">
        <f aca="false">F18+$K26-$K18</f>
        <v>367.573901666667</v>
      </c>
      <c r="G26" s="5" t="n">
        <f aca="false">G18+$K26-$K18</f>
        <v>350.27877</v>
      </c>
      <c r="H26" s="5" t="n">
        <f aca="false">H18+$K26-$K18</f>
        <v>327.722773888889</v>
      </c>
      <c r="I26" s="5" t="n">
        <f aca="false">I18+$K26-$K18</f>
        <v>300.351069444444</v>
      </c>
      <c r="J26" s="5" t="n">
        <f aca="false">J18+$K26-$K18</f>
        <v>294.870920555556</v>
      </c>
      <c r="K26" s="5" t="n">
        <f aca="false">5/9*(K11-32)</f>
        <v>290.934551980941</v>
      </c>
      <c r="L26" s="1" t="s">
        <v>112</v>
      </c>
      <c r="M26" s="21" t="n">
        <f aca="false">(C26-C$23)/C$23</f>
        <v>-0.00320800676757545</v>
      </c>
      <c r="N26" s="21" t="n">
        <f aca="false">(D26-D$23)/D$23</f>
        <v>-0.00384728595635341</v>
      </c>
      <c r="O26" s="21" t="n">
        <f aca="false">(E26-E$23)/E$23</f>
        <v>-0.00196674985834773</v>
      </c>
      <c r="P26" s="21" t="n">
        <f aca="false">(F26-F$23)/F$23</f>
        <v>-0.0010244902257651</v>
      </c>
      <c r="Q26" s="21" t="n">
        <f aca="false">(G26-G$23)/G$23</f>
        <v>-0.00037684286158412</v>
      </c>
      <c r="R26" s="21" t="n">
        <f aca="false">(H26-H$23)/H$23</f>
        <v>-9.8109497716301E-005</v>
      </c>
      <c r="S26" s="21" t="n">
        <f aca="false">(I26-I$23)/I$23</f>
        <v>-0.000107049628530518</v>
      </c>
      <c r="T26" s="21" t="n">
        <f aca="false">(J26-J$23)/J$23</f>
        <v>-8.37418356863013E-005</v>
      </c>
      <c r="U26" s="21" t="n">
        <f aca="false">(K26-K$23)/K$23</f>
        <v>0</v>
      </c>
      <c r="V26" s="21" t="e">
        <f aca="false">(L26-L$23)/L$23</f>
        <v>#VALUE!</v>
      </c>
      <c r="W26" s="21" t="e">
        <f aca="false">(M26-M$23)/M$23</f>
        <v>#VALUE!</v>
      </c>
      <c r="X26" s="21" t="e">
        <f aca="false">(N26-N$23)/N$23</f>
        <v>#DIV/0!</v>
      </c>
      <c r="Y26" s="21" t="e">
        <f aca="false">(O26-O$23)/O$23</f>
        <v>#DIV/0!</v>
      </c>
    </row>
    <row r="27" customFormat="false" ht="12.8" hidden="false" customHeight="false" outlineLevel="0" collapsed="false">
      <c r="A27" s="0" t="s">
        <v>120</v>
      </c>
      <c r="B27" s="1" t="s">
        <v>113</v>
      </c>
      <c r="C27" s="5" t="n">
        <f aca="false">C19+$K27-$K19</f>
        <v>384.946952592593</v>
      </c>
      <c r="D27" s="5" t="n">
        <f aca="false">D19+$K27-$K19</f>
        <v>383.378620555556</v>
      </c>
      <c r="E27" s="5" t="n">
        <f aca="false">E19+$K27-$K19</f>
        <v>378.673624444444</v>
      </c>
      <c r="F27" s="5" t="n">
        <f aca="false">F19+$K27-$K19</f>
        <v>367.500337222222</v>
      </c>
      <c r="G27" s="5" t="n">
        <f aca="false">G19+$K27-$K19</f>
        <v>350.295265555556</v>
      </c>
      <c r="H27" s="5" t="n">
        <f aca="false">H19+$K27-$K19</f>
        <v>327.730237222222</v>
      </c>
      <c r="I27" s="5" t="n">
        <f aca="false">I19+$K27-$K19</f>
        <v>300.358532777778</v>
      </c>
      <c r="J27" s="5" t="n">
        <f aca="false">J19+$K27-$K19</f>
        <v>294.870922777778</v>
      </c>
      <c r="K27" s="5" t="n">
        <f aca="false">5/9*(K12-32)</f>
        <v>290.934551980941</v>
      </c>
      <c r="L27" s="1" t="s">
        <v>113</v>
      </c>
      <c r="M27" s="21" t="n">
        <f aca="false">(C27-C$23)/C$23</f>
        <v>-0.00518312964412461</v>
      </c>
      <c r="N27" s="21" t="n">
        <f aca="false">(D27-D$23)/D$23</f>
        <v>-0.00547947317752154</v>
      </c>
      <c r="O27" s="21" t="n">
        <f aca="false">(E27-E$23)/E$23</f>
        <v>-0.00255660912955497</v>
      </c>
      <c r="P27" s="21" t="n">
        <f aca="false">(F27-F$23)/F$23</f>
        <v>-0.00122442030256583</v>
      </c>
      <c r="Q27" s="21" t="n">
        <f aca="false">(G27-G$23)/G$23</f>
        <v>-0.000329767958006099</v>
      </c>
      <c r="R27" s="21" t="n">
        <f aca="false">(H27-H$23)/H$23</f>
        <v>-7.53384189141677E-005</v>
      </c>
      <c r="S27" s="21" t="n">
        <f aca="false">(I27-I$23)/I$23</f>
        <v>-8.22035895265462E-005</v>
      </c>
      <c r="T27" s="21" t="n">
        <f aca="false">(J27-J$23)/J$23</f>
        <v>-8.37343000631263E-005</v>
      </c>
      <c r="U27" s="21" t="n">
        <f aca="false">(K27-K$23)/K$23</f>
        <v>0</v>
      </c>
      <c r="V27" s="21" t="e">
        <f aca="false">(L27-L$23)/L$23</f>
        <v>#VALUE!</v>
      </c>
      <c r="W27" s="21" t="e">
        <f aca="false">(M27-M$23)/M$23</f>
        <v>#VALUE!</v>
      </c>
      <c r="X27" s="21" t="e">
        <f aca="false">(N27-N$23)/N$23</f>
        <v>#DIV/0!</v>
      </c>
      <c r="Y27" s="21" t="e">
        <f aca="false">(O27-O$23)/O$23</f>
        <v>#DIV/0!</v>
      </c>
    </row>
    <row r="28" customFormat="false" ht="12.8" hidden="false" customHeight="false" outlineLevel="0" collapsed="false">
      <c r="Q28" s="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31" customFormat="false" ht="12.8" hidden="false" customHeight="false" outlineLevel="0" collapsed="false">
      <c r="C31" s="1"/>
      <c r="D31" s="1" t="s">
        <v>122</v>
      </c>
    </row>
    <row r="32" customFormat="false" ht="12.8" hidden="false" customHeight="false" outlineLevel="0" collapsed="false">
      <c r="B32" s="5"/>
      <c r="C32" s="5"/>
      <c r="D32" s="19" t="n">
        <v>723.205422</v>
      </c>
      <c r="E32" s="5" t="n">
        <v>714.007581</v>
      </c>
      <c r="F32" s="5" t="n">
        <v>693.626284</v>
      </c>
      <c r="G32" s="5" t="n">
        <v>662.496825</v>
      </c>
      <c r="H32" s="5" t="n">
        <v>621.898017</v>
      </c>
      <c r="I32" s="5" t="n">
        <v>572.63109</v>
      </c>
      <c r="J32" s="5" t="n">
        <v>562.767262</v>
      </c>
      <c r="K32" s="5"/>
      <c r="L32" s="5"/>
      <c r="M32" s="5"/>
      <c r="N32" s="5"/>
      <c r="O32" s="5"/>
      <c r="P32" s="5"/>
    </row>
    <row r="33" customFormat="false" ht="12.8" hidden="false" customHeight="false" outlineLevel="0" collapsed="false">
      <c r="A33" s="5"/>
      <c r="D33" s="20" t="n">
        <v>723.16334</v>
      </c>
      <c r="E33" s="0" t="n">
        <v>713.968493</v>
      </c>
      <c r="F33" s="0" t="n">
        <v>693.593477</v>
      </c>
      <c r="G33" s="0" t="n">
        <v>662.47267</v>
      </c>
      <c r="H33" s="0" t="n">
        <v>621.883528</v>
      </c>
      <c r="I33" s="0" t="n">
        <v>572.627028</v>
      </c>
      <c r="J33" s="0" t="n">
        <v>562.76534</v>
      </c>
    </row>
    <row r="34" customFormat="false" ht="12.8" hidden="false" customHeight="false" outlineLevel="0" collapsed="false">
      <c r="D34" s="20" t="n">
        <v>723.214065</v>
      </c>
      <c r="E34" s="0" t="n">
        <v>714.01561</v>
      </c>
      <c r="F34" s="10" t="n">
        <v>693.633023</v>
      </c>
      <c r="G34" s="10" t="n">
        <v>662.501786</v>
      </c>
      <c r="H34" s="10" t="n">
        <v>621.900993</v>
      </c>
      <c r="I34" s="10" t="n">
        <v>572.631925</v>
      </c>
      <c r="J34" s="10" t="n">
        <v>562.767657</v>
      </c>
    </row>
    <row r="35" customFormat="false" ht="12.8" hidden="false" customHeight="false" outlineLevel="0" collapsed="false">
      <c r="D35" s="0" t="n">
        <v>722.081517</v>
      </c>
      <c r="E35" s="0" t="n">
        <v>713.612524</v>
      </c>
      <c r="F35" s="0" t="n">
        <v>693.500607</v>
      </c>
      <c r="G35" s="0" t="n">
        <v>662.531478</v>
      </c>
      <c r="H35" s="0" t="n">
        <v>621.914427</v>
      </c>
      <c r="I35" s="0" t="n">
        <v>572.645359</v>
      </c>
      <c r="J35" s="0" t="n">
        <v>562.767661</v>
      </c>
    </row>
  </sheetData>
  <mergeCells count="1">
    <mergeCell ref="A1:D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7" activeCellId="0" sqref="E37"/>
    </sheetView>
  </sheetViews>
  <sheetFormatPr defaultRowHeight="12.8"/>
  <cols>
    <col collapsed="false" hidden="false" max="1" min="1" style="0" width="11.5204081632653"/>
    <col collapsed="false" hidden="false" max="2" min="2" style="0" width="16.5765306122449"/>
    <col collapsed="false" hidden="false" max="4" min="3" style="0" width="14.4438775510204"/>
    <col collapsed="false" hidden="false" max="15" min="5" style="0" width="11.5204081632653"/>
    <col collapsed="false" hidden="false" max="17" min="16" style="0" width="17.3775510204082"/>
    <col collapsed="false" hidden="false" max="1025" min="18" style="0" width="11.5204081632653"/>
  </cols>
  <sheetData>
    <row r="1" customFormat="false" ht="12.8" hidden="false" customHeight="false" outlineLevel="0" collapsed="false">
      <c r="A1" s="14" t="s">
        <v>123</v>
      </c>
      <c r="B1" s="14"/>
      <c r="C1" s="14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customFormat="false" ht="12.8" hidden="false" customHeight="false" outlineLevel="0" collapsed="false">
      <c r="A2" s="14"/>
      <c r="B2" s="14"/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customFormat="false" ht="12.8" hidden="false" customHeight="false" outlineLevel="0" collapsed="false">
      <c r="B3" s="1"/>
      <c r="C3" s="5"/>
      <c r="D3" s="16"/>
      <c r="E3" s="5"/>
      <c r="F3" s="17"/>
    </row>
    <row r="4" customFormat="false" ht="12.8" hidden="false" customHeight="false" outlineLevel="0" collapsed="false">
      <c r="B4" s="1"/>
      <c r="C4" s="5"/>
      <c r="D4" s="16"/>
      <c r="E4" s="5"/>
      <c r="F4" s="17"/>
    </row>
    <row r="5" customFormat="false" ht="12.8" hidden="false" customHeight="false" outlineLevel="0" collapsed="false">
      <c r="B5" s="1"/>
      <c r="C5" s="5"/>
      <c r="D5" s="16"/>
      <c r="E5" s="5"/>
      <c r="F5" s="17"/>
    </row>
    <row r="6" customFormat="false" ht="12.8" hidden="false" customHeight="false" outlineLevel="0" collapsed="false">
      <c r="C6" s="4" t="s">
        <v>104</v>
      </c>
      <c r="P6" s="1" t="s">
        <v>106</v>
      </c>
    </row>
    <row r="7" customFormat="false" ht="12.8" hidden="false" customHeight="false" outlineLevel="0" collapsed="false">
      <c r="B7" s="0" t="s">
        <v>105</v>
      </c>
      <c r="D7" s="10" t="n">
        <f aca="false">D8</f>
        <v>0.00100024498402407</v>
      </c>
      <c r="E7" s="10" t="n">
        <f aca="false">E8</f>
        <v>0.00223661577843101</v>
      </c>
      <c r="F7" s="0" t="n">
        <f aca="false">F8-E8</f>
        <v>0.00136981879949343</v>
      </c>
      <c r="G7" s="0" t="n">
        <f aca="false">G8-F8</f>
        <v>0.00139479034219591</v>
      </c>
      <c r="H7" s="0" t="n">
        <f aca="false">H8-G8</f>
        <v>0.00140346798045481</v>
      </c>
      <c r="I7" s="0" t="n">
        <f aca="false">I8-H8</f>
        <v>0.00140747016172609</v>
      </c>
      <c r="J7" s="0" t="n">
        <f aca="false">J8-I8</f>
        <v>0.00140964003609288</v>
      </c>
      <c r="K7" s="0" t="n">
        <f aca="false">K8-J8</f>
        <v>0.00141094693023817</v>
      </c>
      <c r="L7" s="0" t="n">
        <f aca="false">L8-K8</f>
        <v>0.0014117945484561</v>
      </c>
      <c r="M7" s="0" t="n">
        <f aca="false">M8-L8</f>
        <v>0.0013937756328854</v>
      </c>
      <c r="N7" s="0" t="n">
        <f aca="false">N8-M8</f>
        <v>0.000275590551181102</v>
      </c>
      <c r="O7" s="0" t="n">
        <f aca="false">O8-N8</f>
        <v>0.0018700787401574</v>
      </c>
      <c r="P7" s="18" t="n">
        <f aca="false">(t_in+q_lin*dz*2/(M_dot*cp_in))*9/5+32</f>
        <v>555.682193565694</v>
      </c>
    </row>
    <row r="8" customFormat="false" ht="12.8" hidden="false" customHeight="false" outlineLevel="0" collapsed="false">
      <c r="B8" s="0" t="s">
        <v>107</v>
      </c>
      <c r="C8" s="10" t="n">
        <v>0</v>
      </c>
      <c r="D8" s="10" t="n">
        <v>0.00100024498402407</v>
      </c>
      <c r="E8" s="10" t="n">
        <v>0.00223661577843101</v>
      </c>
      <c r="F8" s="10" t="n">
        <v>0.00360643457792444</v>
      </c>
      <c r="G8" s="10" t="n">
        <v>0.00500122492012035</v>
      </c>
      <c r="H8" s="10" t="n">
        <v>0.00640469290057516</v>
      </c>
      <c r="I8" s="10" t="n">
        <v>0.00781216306230125</v>
      </c>
      <c r="J8" s="10" t="n">
        <v>0.00922180309839413</v>
      </c>
      <c r="K8" s="10" t="n">
        <v>0.0106327500286323</v>
      </c>
      <c r="L8" s="10" t="n">
        <v>0.0120445445770884</v>
      </c>
      <c r="M8" s="10" t="n">
        <v>0.0134383202099738</v>
      </c>
      <c r="N8" s="10" t="n">
        <v>0.0137139107611549</v>
      </c>
      <c r="O8" s="10" t="n">
        <v>0.0155839895013123</v>
      </c>
      <c r="P8" s="10" t="n">
        <f aca="false">P7</f>
        <v>555.682193565694</v>
      </c>
    </row>
    <row r="9" customFormat="false" ht="12.8" hidden="false" customHeight="false" outlineLevel="0" collapsed="false">
      <c r="A9" s="0" t="s">
        <v>108</v>
      </c>
      <c r="B9" s="1" t="s">
        <v>109</v>
      </c>
      <c r="C9" s="5" t="n">
        <f aca="false">1/3*(4*D9-E9)</f>
        <v>727.721413</v>
      </c>
      <c r="D9" s="19" t="n">
        <v>727.033491</v>
      </c>
      <c r="E9" s="5" t="n">
        <v>724.969725</v>
      </c>
      <c r="F9" s="5" t="n">
        <v>720.396683</v>
      </c>
      <c r="G9" s="5" t="n">
        <v>713.41206</v>
      </c>
      <c r="H9" s="5" t="n">
        <v>704.041268</v>
      </c>
      <c r="I9" s="5" t="n">
        <v>692.294343</v>
      </c>
      <c r="J9" s="5" t="n">
        <v>678.176254</v>
      </c>
      <c r="K9" s="5" t="n">
        <v>661.689815</v>
      </c>
      <c r="L9" s="5" t="n">
        <v>642.836771</v>
      </c>
      <c r="M9" s="5" t="n">
        <v>621.897702</v>
      </c>
      <c r="N9" s="5" t="n">
        <v>572.631002</v>
      </c>
      <c r="O9" s="5" t="n">
        <v>562.76722</v>
      </c>
      <c r="P9" s="10" t="n">
        <f aca="false">P8</f>
        <v>555.682193565694</v>
      </c>
    </row>
    <row r="10" customFormat="false" ht="12.8" hidden="false" customHeight="false" outlineLevel="0" collapsed="false">
      <c r="A10" s="0" t="s">
        <v>108</v>
      </c>
      <c r="B10" s="1" t="s">
        <v>110</v>
      </c>
      <c r="C10" s="5" t="n">
        <f aca="false">1/3*(4*D10-E10)</f>
        <v>727.675728333333</v>
      </c>
      <c r="D10" s="20" t="n">
        <v>726.988046</v>
      </c>
      <c r="E10" s="0" t="n">
        <v>724.924999</v>
      </c>
      <c r="F10" s="0" t="n">
        <v>720.353531</v>
      </c>
      <c r="G10" s="0" t="n">
        <v>713.37126</v>
      </c>
      <c r="H10" s="0" t="n">
        <v>704.003525</v>
      </c>
      <c r="I10" s="0" t="n">
        <v>692.260276</v>
      </c>
      <c r="J10" s="0" t="n">
        <v>678.14638</v>
      </c>
      <c r="K10" s="0" t="n">
        <v>661.664541</v>
      </c>
      <c r="L10" s="0" t="n">
        <v>642.816381</v>
      </c>
      <c r="M10" s="0" t="n">
        <v>621.882284</v>
      </c>
      <c r="N10" s="0" t="n">
        <v>572.62668</v>
      </c>
      <c r="O10" s="0" t="n">
        <v>562.765175</v>
      </c>
      <c r="P10" s="10" t="n">
        <f aca="false">P9</f>
        <v>555.682193565694</v>
      </c>
      <c r="R10" s="10"/>
    </row>
    <row r="11" customFormat="false" ht="12.8" hidden="false" customHeight="false" outlineLevel="0" collapsed="false">
      <c r="A11" s="0" t="s">
        <v>108</v>
      </c>
      <c r="B11" s="1" t="s">
        <v>112</v>
      </c>
      <c r="C11" s="5" t="n">
        <f aca="false">1/3*(4*D11-E11)</f>
        <v>727.731164</v>
      </c>
      <c r="D11" s="0" t="n">
        <v>727.043191</v>
      </c>
      <c r="E11" s="0" t="n">
        <v>724.979272</v>
      </c>
      <c r="F11" s="0" t="n">
        <v>720.405893</v>
      </c>
      <c r="G11" s="0" t="n">
        <v>713.420768</v>
      </c>
      <c r="H11" s="0" t="n">
        <v>704.049325</v>
      </c>
      <c r="I11" s="0" t="n">
        <v>692.301615</v>
      </c>
      <c r="J11" s="0" t="n">
        <v>678.18263</v>
      </c>
      <c r="K11" s="0" t="n">
        <v>661.695209</v>
      </c>
      <c r="L11" s="0" t="n">
        <v>642.841123</v>
      </c>
      <c r="M11" s="0" t="n">
        <v>621.900993</v>
      </c>
      <c r="N11" s="0" t="n">
        <v>572.631925</v>
      </c>
      <c r="O11" s="0" t="n">
        <v>562.767657</v>
      </c>
      <c r="P11" s="10" t="n">
        <f aca="false">P10</f>
        <v>555.682193565694</v>
      </c>
    </row>
    <row r="12" customFormat="false" ht="12.8" hidden="false" customHeight="false" outlineLevel="0" collapsed="false">
      <c r="A12" s="0" t="s">
        <v>108</v>
      </c>
      <c r="B12" s="1" t="s">
        <v>113</v>
      </c>
      <c r="C12" s="5" t="n">
        <v>727.18</v>
      </c>
      <c r="D12" s="0" t="n">
        <v>726.70938</v>
      </c>
      <c r="E12" s="0" t="n">
        <v>724.809134</v>
      </c>
      <c r="F12" s="0" t="n">
        <v>720.296488</v>
      </c>
      <c r="G12" s="0" t="n">
        <v>713.347736</v>
      </c>
      <c r="H12" s="0" t="n">
        <v>704.002421</v>
      </c>
      <c r="I12" s="0" t="n">
        <v>692.275178</v>
      </c>
      <c r="J12" s="0" t="n">
        <v>678.173049</v>
      </c>
      <c r="K12" s="0" t="n">
        <v>661.699973</v>
      </c>
      <c r="L12" s="0" t="n">
        <v>642.858379</v>
      </c>
      <c r="M12" s="0" t="n">
        <v>621.914427</v>
      </c>
      <c r="N12" s="0" t="n">
        <v>572.645359</v>
      </c>
      <c r="O12" s="0" t="n">
        <v>562.767661</v>
      </c>
      <c r="P12" s="10" t="n">
        <f aca="false">P11</f>
        <v>555.682193565694</v>
      </c>
      <c r="R12" s="10"/>
    </row>
    <row r="13" customFormat="false" ht="12.8" hidden="false" customHeight="false" outlineLevel="0" collapsed="false">
      <c r="C13" s="4" t="s">
        <v>114</v>
      </c>
      <c r="P13" s="0" t="e">
        <f aca="false">D7/#REF!*N13</f>
        <v>#REF!</v>
      </c>
    </row>
    <row r="14" customFormat="false" ht="12.8" hidden="false" customHeight="false" outlineLevel="0" collapsed="false">
      <c r="B14" s="1" t="s">
        <v>115</v>
      </c>
      <c r="C14" s="5" t="n">
        <f aca="false">(C8)*t_ft_m*100</f>
        <v>0</v>
      </c>
      <c r="D14" s="5" t="n">
        <f aca="false">(D8)*t_ft_m*100</f>
        <v>0.0304874671130537</v>
      </c>
      <c r="E14" s="5" t="n">
        <f aca="false">(E8)*t_ft_m*100</f>
        <v>0.0681720489265772</v>
      </c>
      <c r="F14" s="5" t="n">
        <f aca="false">(F8)*t_ft_m*100</f>
        <v>0.109924125935137</v>
      </c>
      <c r="G14" s="5" t="n">
        <f aca="false">(G8)*t_ft_m*100</f>
        <v>0.152437335565268</v>
      </c>
      <c r="H14" s="5" t="n">
        <f aca="false">(H8)*t_ft_m*100</f>
        <v>0.195215039609531</v>
      </c>
      <c r="I14" s="5" t="n">
        <f aca="false">(I8)*t_ft_m*100</f>
        <v>0.238114730138942</v>
      </c>
      <c r="J14" s="5" t="n">
        <f aca="false">(J8)*t_ft_m*100</f>
        <v>0.281080558439053</v>
      </c>
      <c r="K14" s="5" t="n">
        <f aca="false">(K8)*t_ft_m*100</f>
        <v>0.324086220872712</v>
      </c>
      <c r="L14" s="5" t="n">
        <f aca="false">(L8)*t_ft_m*100</f>
        <v>0.367117718709654</v>
      </c>
      <c r="M14" s="5" t="n">
        <f aca="false">(M8)*t_ft_m*100</f>
        <v>0.409600000000001</v>
      </c>
      <c r="N14" s="5" t="n">
        <f aca="false">(N8)*t_ft_m*100</f>
        <v>0.418000000000001</v>
      </c>
      <c r="O14" s="5" t="n">
        <f aca="false">(O8)*t_ft_m*100</f>
        <v>0.474999999999999</v>
      </c>
      <c r="S14" s="8"/>
      <c r="T14" s="1"/>
      <c r="U14" s="1"/>
      <c r="V14" s="1"/>
      <c r="W14" s="1"/>
      <c r="X14" s="1"/>
      <c r="Y14" s="1"/>
      <c r="Z14" s="1"/>
    </row>
    <row r="15" customFormat="false" ht="12.8" hidden="false" customHeight="false" outlineLevel="0" collapsed="false">
      <c r="A15" s="0" t="s">
        <v>116</v>
      </c>
      <c r="B15" s="1" t="s">
        <v>117</v>
      </c>
      <c r="C15" s="5" t="n">
        <f aca="false">q_dot*1000/(4*k_fuel)*((R_fuel/100)^2)*(1-(C14/R_fuel)^2)+delta_gap+delta_clad</f>
        <v>92.0569623145947</v>
      </c>
      <c r="D15" s="5" t="n">
        <f aca="false">q_dot*1000/(4*k_fuel)*((R_fuel/100)^2)*(1-(D14/R_fuel)^2)+delta_gap+delta_clad</f>
        <v>91.7289975045674</v>
      </c>
      <c r="E15" s="5" t="n">
        <f aca="false">q_dot*1000/(4*k_fuel)*((R_fuel/100)^2)*(1-(E14/R_fuel)^2)+delta_gap+delta_clad</f>
        <v>90.4171382644584</v>
      </c>
      <c r="F15" s="5" t="n">
        <f aca="false">q_dot*1000/(4*k_fuel)*((R_fuel/100)^2)*(1-(F14/R_fuel)^2)+delta_gap+delta_clad</f>
        <v>87.7934197842404</v>
      </c>
      <c r="G15" s="5" t="n">
        <f aca="false">q_dot*1000/(4*k_fuel)*((R_fuel/100)^2)*(1-(G14/R_fuel)^2)+delta_gap+delta_clad</f>
        <v>83.8578420639133</v>
      </c>
      <c r="H15" s="5" t="n">
        <f aca="false">q_dot*1000/(4*k_fuel)*((R_fuel/100)^2)*(1-(H14/R_fuel)^2)+delta_gap+delta_clad</f>
        <v>78.6104051034772</v>
      </c>
      <c r="I15" s="5" t="n">
        <f aca="false">q_dot*1000/(4*k_fuel)*((R_fuel/100)^2)*(1-(I14/R_fuel)^2)+delta_gap+delta_clad</f>
        <v>72.0511089029322</v>
      </c>
      <c r="J15" s="5" t="n">
        <f aca="false">q_dot*1000/(4*k_fuel)*((R_fuel/100)^2)*(1-(J14/R_fuel)^2)+delta_gap+delta_clad</f>
        <v>64.1799534622781</v>
      </c>
      <c r="K15" s="5" t="n">
        <f aca="false">q_dot*1000/(4*k_fuel)*((R_fuel/100)^2)*(1-(K14/R_fuel)^2)+delta_gap+delta_clad</f>
        <v>54.996938781515</v>
      </c>
      <c r="L15" s="5" t="n">
        <f aca="false">q_dot*1000/(4*k_fuel)*((R_fuel/100)^2)*(1-(L14/R_fuel)^2)+delta_gap+delta_clad</f>
        <v>44.5020648606431</v>
      </c>
      <c r="M15" s="5" t="n">
        <f aca="false">delta_gap+delta_clad</f>
        <v>32.8593141046753</v>
      </c>
      <c r="N15" s="5" t="n">
        <f aca="false">delta_clad</f>
        <v>5.4876097013893</v>
      </c>
      <c r="O15" s="5" t="n">
        <v>0</v>
      </c>
      <c r="P15" s="5" t="n">
        <f aca="false">-delta_fluid</f>
        <v>-3.96106367480532</v>
      </c>
      <c r="Q15" s="5"/>
      <c r="R15" s="3" t="s">
        <v>118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customFormat="false" ht="12.8" hidden="false" customHeight="false" outlineLevel="0" collapsed="false">
      <c r="A16" s="0" t="s">
        <v>116</v>
      </c>
      <c r="B16" s="1" t="s">
        <v>109</v>
      </c>
      <c r="C16" s="5" t="n">
        <f aca="false">(C9-$O9)*t_R_K</f>
        <v>91.6412183333334</v>
      </c>
      <c r="D16" s="5" t="n">
        <f aca="false">(D9-$O9)*t_R_K</f>
        <v>91.2590394444445</v>
      </c>
      <c r="E16" s="5" t="n">
        <f aca="false">(E9-$O9)*t_R_K</f>
        <v>90.1125027777778</v>
      </c>
      <c r="F16" s="5" t="n">
        <f aca="false">(F9-$O9)*t_R_K</f>
        <v>87.5719238888889</v>
      </c>
      <c r="G16" s="5" t="n">
        <f aca="false">(G9-$O9)*t_R_K</f>
        <v>83.6915777777778</v>
      </c>
      <c r="H16" s="5" t="n">
        <f aca="false">(H9-$O9)*t_R_K</f>
        <v>78.4855822222222</v>
      </c>
      <c r="I16" s="5" t="n">
        <f aca="false">(I9-$O9)*t_R_K</f>
        <v>71.9595127777778</v>
      </c>
      <c r="J16" s="5" t="n">
        <f aca="false">(J9-$O9)*t_R_K</f>
        <v>64.11613</v>
      </c>
      <c r="K16" s="5" t="n">
        <f aca="false">(K9-$O9)*t_R_K</f>
        <v>54.9569972222222</v>
      </c>
      <c r="L16" s="5" t="n">
        <f aca="false">(L9-$O9)*t_R_K</f>
        <v>44.4830838888889</v>
      </c>
      <c r="M16" s="5" t="n">
        <f aca="false">(M9-$O9)*t_R_K</f>
        <v>32.8502677777778</v>
      </c>
      <c r="N16" s="5" t="n">
        <f aca="false">(N9-$O9)*t_R_K</f>
        <v>5.4798788888889</v>
      </c>
      <c r="O16" s="5" t="n">
        <f aca="false">(O9-$O9)*t_R_K</f>
        <v>0</v>
      </c>
      <c r="P16" s="5" t="n">
        <f aca="false">(P8-$O9)*t_R_K</f>
        <v>-3.93612579683665</v>
      </c>
      <c r="Q16" s="1" t="str">
        <f aca="false">B16</f>
        <v>Semi-implicit Trans</v>
      </c>
      <c r="R16" s="7" t="n">
        <f aca="false">C16-C$15</f>
        <v>-0.415743981261301</v>
      </c>
      <c r="S16" s="7" t="n">
        <f aca="false">D16-D$15</f>
        <v>-0.469958060122906</v>
      </c>
      <c r="T16" s="7" t="n">
        <f aca="false">E16-E$15</f>
        <v>-0.304635486680553</v>
      </c>
      <c r="U16" s="7" t="n">
        <f aca="false">F16-F$15</f>
        <v>-0.22149589535141</v>
      </c>
      <c r="V16" s="7" t="n">
        <f aca="false">G16-G$15</f>
        <v>-0.166264286135515</v>
      </c>
      <c r="W16" s="7" t="n">
        <f aca="false">H16-H$15</f>
        <v>-0.124822881255014</v>
      </c>
      <c r="X16" s="7" t="n">
        <f aca="false">I16-I$15</f>
        <v>-0.0915961251543678</v>
      </c>
      <c r="Y16" s="7" t="n">
        <f aca="false">J16-J$15</f>
        <v>-0.06382346227808</v>
      </c>
      <c r="Z16" s="7" t="n">
        <f aca="false">K16-K$15</f>
        <v>-0.0399415592928136</v>
      </c>
      <c r="AA16" s="7" t="n">
        <f aca="false">L16-L$15</f>
        <v>-0.018980971754182</v>
      </c>
      <c r="AB16" s="7" t="n">
        <f aca="false">M16-M$15</f>
        <v>-0.0090463268975256</v>
      </c>
      <c r="AC16" s="7" t="n">
        <f aca="false">N16-N$15</f>
        <v>-0.00773081250040253</v>
      </c>
      <c r="AD16" s="7" t="n">
        <f aca="false">O16-O$15</f>
        <v>0</v>
      </c>
    </row>
    <row r="17" customFormat="false" ht="12.8" hidden="false" customHeight="false" outlineLevel="0" collapsed="false">
      <c r="A17" s="0" t="s">
        <v>116</v>
      </c>
      <c r="B17" s="1" t="s">
        <v>110</v>
      </c>
      <c r="C17" s="5" t="n">
        <f aca="false">(C10-$O10)*t_R_K</f>
        <v>91.6169740740741</v>
      </c>
      <c r="D17" s="5" t="n">
        <f aca="false">(D10-$O10)*t_R_K</f>
        <v>91.2349283333334</v>
      </c>
      <c r="E17" s="5" t="n">
        <f aca="false">(E10-$O10)*t_R_K</f>
        <v>90.0887911111111</v>
      </c>
      <c r="F17" s="5" t="n">
        <f aca="false">(F10-$O10)*t_R_K</f>
        <v>87.5490866666667</v>
      </c>
      <c r="G17" s="5" t="n">
        <f aca="false">(G10-$O10)*t_R_K</f>
        <v>83.6700472222222</v>
      </c>
      <c r="H17" s="5" t="n">
        <f aca="false">(H10-$O10)*t_R_K</f>
        <v>78.46575</v>
      </c>
      <c r="I17" s="5" t="n">
        <f aca="false">(I10-$O10)*t_R_K</f>
        <v>71.9417227777778</v>
      </c>
      <c r="J17" s="5" t="n">
        <f aca="false">(J10-$O10)*t_R_K</f>
        <v>64.1006694444445</v>
      </c>
      <c r="K17" s="5" t="n">
        <f aca="false">(K10-$O10)*t_R_K</f>
        <v>54.9440922222222</v>
      </c>
      <c r="L17" s="5" t="n">
        <f aca="false">(L10-$O10)*t_R_K</f>
        <v>44.4728922222222</v>
      </c>
      <c r="M17" s="5" t="n">
        <f aca="false">(M10-$O10)*t_R_K</f>
        <v>32.8428383333333</v>
      </c>
      <c r="N17" s="5" t="n">
        <f aca="false">(N10-$O10)*t_R_K</f>
        <v>5.47861388888887</v>
      </c>
      <c r="O17" s="5" t="n">
        <f aca="false">(O10-$O10)*t_R_K</f>
        <v>0</v>
      </c>
      <c r="P17" s="5" t="n">
        <f aca="false">(P11-$O10)*t_R_K</f>
        <v>-3.93498968572557</v>
      </c>
      <c r="Q17" s="1" t="str">
        <f aca="false">B17</f>
        <v>Implicit Trans</v>
      </c>
      <c r="R17" s="7" t="n">
        <f aca="false">C17-C$15</f>
        <v>-0.439988240520549</v>
      </c>
      <c r="S17" s="7" t="n">
        <f aca="false">D17-D$15</f>
        <v>-0.494069171234031</v>
      </c>
      <c r="T17" s="7" t="n">
        <f aca="false">E17-E$15</f>
        <v>-0.328347153347295</v>
      </c>
      <c r="U17" s="7" t="n">
        <f aca="false">F17-F$15</f>
        <v>-0.244333117573703</v>
      </c>
      <c r="V17" s="7" t="n">
        <f aca="false">G17-G$15</f>
        <v>-0.187794841691101</v>
      </c>
      <c r="W17" s="7" t="n">
        <f aca="false">H17-H$15</f>
        <v>-0.144655103477248</v>
      </c>
      <c r="X17" s="7" t="n">
        <f aca="false">I17-I$15</f>
        <v>-0.109386125154415</v>
      </c>
      <c r="Y17" s="7" t="n">
        <f aca="false">J17-J$15</f>
        <v>-0.0792840178336292</v>
      </c>
      <c r="Z17" s="7" t="n">
        <f aca="false">K17-K$15</f>
        <v>-0.0528465592928242</v>
      </c>
      <c r="AA17" s="7" t="n">
        <f aca="false">L17-L$15</f>
        <v>-0.0291726384208886</v>
      </c>
      <c r="AB17" s="7" t="n">
        <f aca="false">M17-M$15</f>
        <v>-0.0164757713419732</v>
      </c>
      <c r="AC17" s="7" t="n">
        <f aca="false">N17-N$15</f>
        <v>-0.00899581250042925</v>
      </c>
      <c r="AD17" s="7" t="n">
        <f aca="false">O17-O$15</f>
        <v>0</v>
      </c>
    </row>
    <row r="18" customFormat="false" ht="12.8" hidden="false" customHeight="false" outlineLevel="0" collapsed="false">
      <c r="A18" s="0" t="s">
        <v>116</v>
      </c>
      <c r="B18" s="1" t="s">
        <v>112</v>
      </c>
      <c r="C18" s="5" t="n">
        <f aca="false">(C11-$O11)*t_R_K</f>
        <v>91.6463927777778</v>
      </c>
      <c r="D18" s="5" t="n">
        <f aca="false">(D11-$O11)*t_R_K</f>
        <v>91.2641855555556</v>
      </c>
      <c r="E18" s="5" t="n">
        <f aca="false">(E11-$O11)*t_R_K</f>
        <v>90.1175638888889</v>
      </c>
      <c r="F18" s="5" t="n">
        <f aca="false">(F11-$O11)*t_R_K</f>
        <v>87.5767977777778</v>
      </c>
      <c r="G18" s="5" t="n">
        <f aca="false">(G11-$O11)*t_R_K</f>
        <v>83.6961727777778</v>
      </c>
      <c r="H18" s="5" t="n">
        <f aca="false">(H11-$O11)*t_R_K</f>
        <v>78.4898155555555</v>
      </c>
      <c r="I18" s="5" t="n">
        <f aca="false">(I11-$O11)*t_R_K</f>
        <v>71.96331</v>
      </c>
      <c r="J18" s="5" t="n">
        <f aca="false">(J11-$O11)*t_R_K</f>
        <v>64.1194294444445</v>
      </c>
      <c r="K18" s="5" t="n">
        <f aca="false">(K11-$O11)*t_R_K</f>
        <v>54.9597511111111</v>
      </c>
      <c r="L18" s="5" t="n">
        <f aca="false">(L11-$O11)*t_R_K</f>
        <v>44.4852588888889</v>
      </c>
      <c r="M18" s="5" t="n">
        <f aca="false">(M11-$O11)*t_R_K</f>
        <v>32.8518533333333</v>
      </c>
      <c r="N18" s="5" t="n">
        <f aca="false">(N11-$O11)*t_R_K</f>
        <v>5.48014888888891</v>
      </c>
      <c r="O18" s="5" t="n">
        <f aca="false">(O11-$O11)*t_R_K</f>
        <v>0</v>
      </c>
      <c r="P18" s="5" t="n">
        <f aca="false">(P9-$O11)*t_R_K</f>
        <v>-3.93636857461445</v>
      </c>
      <c r="Q18" s="1" t="str">
        <f aca="false">B18</f>
        <v>Implicit SS</v>
      </c>
      <c r="R18" s="7" t="n">
        <f aca="false">C18-C$15</f>
        <v>-0.410569536816908</v>
      </c>
      <c r="S18" s="7" t="n">
        <f aca="false">D18-D$15</f>
        <v>-0.464811949011846</v>
      </c>
      <c r="T18" s="7" t="n">
        <f aca="false">E18-E$15</f>
        <v>-0.299574375569463</v>
      </c>
      <c r="U18" s="7" t="n">
        <f aca="false">F18-F$15</f>
        <v>-0.216622006462572</v>
      </c>
      <c r="V18" s="7" t="n">
        <f aca="false">G18-G$15</f>
        <v>-0.161669286135563</v>
      </c>
      <c r="W18" s="7" t="n">
        <f aca="false">H18-H$15</f>
        <v>-0.120589547921696</v>
      </c>
      <c r="X18" s="7" t="n">
        <f aca="false">I18-I$15</f>
        <v>-0.0877989029321924</v>
      </c>
      <c r="Y18" s="7" t="n">
        <f aca="false">J18-J$15</f>
        <v>-0.0605240178336288</v>
      </c>
      <c r="Z18" s="7" t="n">
        <f aca="false">K18-K$15</f>
        <v>-0.0371876704039309</v>
      </c>
      <c r="AA18" s="7" t="n">
        <f aca="false">L18-L$15</f>
        <v>-0.0168059717541809</v>
      </c>
      <c r="AB18" s="7" t="n">
        <f aca="false">M18-M$15</f>
        <v>-0.00746077134199652</v>
      </c>
      <c r="AC18" s="7" t="n">
        <f aca="false">N18-N$15</f>
        <v>-0.00746081250038877</v>
      </c>
      <c r="AD18" s="7" t="n">
        <f aca="false">O18-O$15</f>
        <v>0</v>
      </c>
    </row>
    <row r="19" customFormat="false" ht="12.8" hidden="false" customHeight="false" outlineLevel="0" collapsed="false">
      <c r="A19" s="0" t="s">
        <v>116</v>
      </c>
      <c r="B19" s="1" t="s">
        <v>113</v>
      </c>
      <c r="C19" s="5" t="n">
        <f aca="false">(C12-$O12)*t_R_K</f>
        <v>91.3401883333333</v>
      </c>
      <c r="D19" s="5" t="n">
        <f aca="false">(D12-$O12)*t_R_K</f>
        <v>91.0787327777778</v>
      </c>
      <c r="E19" s="5" t="n">
        <f aca="false">(E12-$O12)*t_R_K</f>
        <v>90.0230405555556</v>
      </c>
      <c r="F19" s="5" t="n">
        <f aca="false">(F12-$O12)*t_R_K</f>
        <v>87.516015</v>
      </c>
      <c r="G19" s="5" t="n">
        <f aca="false">(G12-$O12)*t_R_K</f>
        <v>83.6555972222223</v>
      </c>
      <c r="H19" s="5" t="n">
        <f aca="false">(H12-$O12)*t_R_K</f>
        <v>78.4637555555556</v>
      </c>
      <c r="I19" s="5" t="n">
        <f aca="false">(I12-$O12)*t_R_K</f>
        <v>71.9486205555556</v>
      </c>
      <c r="J19" s="5" t="n">
        <f aca="false">(J12-$O12)*t_R_K</f>
        <v>64.1141044444445</v>
      </c>
      <c r="K19" s="5" t="n">
        <f aca="false">(K12-$O12)*t_R_K</f>
        <v>54.9623955555556</v>
      </c>
      <c r="L19" s="5" t="n">
        <f aca="false">(L12-$O12)*t_R_K</f>
        <v>44.4948433333334</v>
      </c>
      <c r="M19" s="5" t="n">
        <f aca="false">(M12-$O12)*t_R_K</f>
        <v>32.8593144444445</v>
      </c>
      <c r="N19" s="5" t="n">
        <f aca="false">(N12-$O12)*t_R_K</f>
        <v>5.48761000000001</v>
      </c>
      <c r="O19" s="5" t="n">
        <f aca="false">(O12-$O12)*t_R_K</f>
        <v>0</v>
      </c>
      <c r="P19" s="5" t="n">
        <f aca="false">(P10-$O12)*t_R_K</f>
        <v>-3.93637079683667</v>
      </c>
      <c r="Q19" s="1" t="str">
        <f aca="false">B19</f>
        <v>Original</v>
      </c>
      <c r="R19" s="7" t="n">
        <f aca="false">C19-C$15</f>
        <v>-0.716773981261326</v>
      </c>
      <c r="S19" s="7" t="n">
        <f aca="false">D19-D$15</f>
        <v>-0.650264726789601</v>
      </c>
      <c r="T19" s="7" t="n">
        <f aca="false">E19-E$15</f>
        <v>-0.394097708902834</v>
      </c>
      <c r="U19" s="7" t="n">
        <f aca="false">F19-F$15</f>
        <v>-0.27740478424036</v>
      </c>
      <c r="V19" s="7" t="n">
        <f aca="false">G19-G$15</f>
        <v>-0.202244841691055</v>
      </c>
      <c r="W19" s="7" t="n">
        <f aca="false">H19-H$15</f>
        <v>-0.146649547921641</v>
      </c>
      <c r="X19" s="7" t="n">
        <f aca="false">I19-I$15</f>
        <v>-0.102488347376621</v>
      </c>
      <c r="Y19" s="7" t="n">
        <f aca="false">J19-J$15</f>
        <v>-0.0658490178336422</v>
      </c>
      <c r="Z19" s="7" t="n">
        <f aca="false">K19-K$15</f>
        <v>-0.0345432259594673</v>
      </c>
      <c r="AA19" s="7" t="n">
        <f aca="false">L19-L$15</f>
        <v>-0.00722152730974557</v>
      </c>
      <c r="AB19" s="7" t="n">
        <f aca="false">M19-M$15</f>
        <v>3.3976916569145E-007</v>
      </c>
      <c r="AC19" s="7" t="n">
        <f aca="false">N19-N$15</f>
        <v>2.9861070593995E-007</v>
      </c>
      <c r="AD19" s="7" t="n">
        <f aca="false">O19-O$15</f>
        <v>0</v>
      </c>
    </row>
    <row r="20" customFormat="false" ht="12.8" hidden="false" customHeight="false" outlineLevel="0" collapsed="false">
      <c r="B20" s="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customFormat="false" ht="12.8" hidden="false" customHeight="false" outlineLevel="0" collapsed="false">
      <c r="C21" s="4" t="s">
        <v>119</v>
      </c>
    </row>
    <row r="22" customFormat="false" ht="12.8" hidden="false" customHeight="false" outlineLevel="0" collapsed="false">
      <c r="B22" s="1" t="s">
        <v>115</v>
      </c>
      <c r="C22" s="8" t="n">
        <f aca="false">(C8)*t_ft_m*100</f>
        <v>0</v>
      </c>
      <c r="D22" s="8" t="n">
        <f aca="false">(D8)*t_ft_m*100</f>
        <v>0.0304874671130537</v>
      </c>
      <c r="E22" s="8" t="n">
        <f aca="false">(E8)*t_ft_m*100</f>
        <v>0.0681720489265772</v>
      </c>
      <c r="F22" s="8" t="n">
        <f aca="false">(F8)*t_ft_m*100</f>
        <v>0.109924125935137</v>
      </c>
      <c r="G22" s="8" t="n">
        <f aca="false">(G8)*t_ft_m*100</f>
        <v>0.152437335565268</v>
      </c>
      <c r="H22" s="8" t="n">
        <f aca="false">(H8)*t_ft_m*100</f>
        <v>0.195215039609531</v>
      </c>
      <c r="I22" s="8" t="n">
        <f aca="false">(I8)*t_ft_m*100</f>
        <v>0.238114730138942</v>
      </c>
      <c r="J22" s="8" t="n">
        <f aca="false">(J8)*t_ft_m*100</f>
        <v>0.281080558439053</v>
      </c>
      <c r="K22" s="8" t="n">
        <f aca="false">(K8)*t_ft_m*100</f>
        <v>0.324086220872712</v>
      </c>
      <c r="L22" s="8" t="n">
        <f aca="false">(L8)*t_ft_m*100</f>
        <v>0.367117718709654</v>
      </c>
      <c r="M22" s="8" t="n">
        <f aca="false">(M8)*t_ft_m*100</f>
        <v>0.409600000000001</v>
      </c>
      <c r="N22" s="8" t="n">
        <f aca="false">(N8)*t_ft_m*100</f>
        <v>0.418000000000001</v>
      </c>
      <c r="O22" s="8" t="n">
        <f aca="false">(O8)*t_ft_m*100</f>
        <v>0.474999999999999</v>
      </c>
      <c r="P22" s="8"/>
    </row>
    <row r="23" customFormat="false" ht="12.8" hidden="false" customHeight="false" outlineLevel="0" collapsed="false">
      <c r="A23" s="0" t="s">
        <v>120</v>
      </c>
      <c r="B23" s="1" t="s">
        <v>117</v>
      </c>
      <c r="C23" s="5" t="n">
        <f aca="false">C15+$P23-$P15</f>
        <v>386.952577970341</v>
      </c>
      <c r="D23" s="5" t="n">
        <f aca="false">D15+$P23-$P15</f>
        <v>386.624613160314</v>
      </c>
      <c r="E23" s="5" t="n">
        <f aca="false">E15+$P23-$P15</f>
        <v>385.312753920205</v>
      </c>
      <c r="F23" s="5" t="n">
        <f aca="false">F15+$P23-$P15</f>
        <v>382.689035439987</v>
      </c>
      <c r="G23" s="5" t="n">
        <f aca="false">G15+$P23-$P15</f>
        <v>378.75345771966</v>
      </c>
      <c r="H23" s="5" t="n">
        <f aca="false">H15+$P23-$P15</f>
        <v>373.506020759224</v>
      </c>
      <c r="I23" s="5" t="n">
        <f aca="false">I15+$P23-$P15</f>
        <v>366.946724558679</v>
      </c>
      <c r="J23" s="5" t="n">
        <f aca="false">J15+$P23-$P15</f>
        <v>359.075569118025</v>
      </c>
      <c r="K23" s="5" t="n">
        <f aca="false">K15+$P23-$P15</f>
        <v>349.892554437261</v>
      </c>
      <c r="L23" s="5" t="n">
        <f aca="false">L15+$P23-$P15</f>
        <v>339.39768051639</v>
      </c>
      <c r="M23" s="5" t="n">
        <f aca="false">M15+$P23-$P15</f>
        <v>327.754929760422</v>
      </c>
      <c r="N23" s="5" t="n">
        <f aca="false">N15+$P23-$P15</f>
        <v>300.383225357136</v>
      </c>
      <c r="O23" s="5" t="n">
        <f aca="false">O15+$P23-$P15</f>
        <v>294.895615655746</v>
      </c>
      <c r="P23" s="5" t="n">
        <f aca="false">5/9*(P7-32)</f>
        <v>290.934551980941</v>
      </c>
      <c r="Q23" s="5"/>
      <c r="R23" s="3" t="s">
        <v>121</v>
      </c>
      <c r="S23" s="8"/>
      <c r="T23" s="1"/>
      <c r="U23" s="1"/>
      <c r="V23" s="1"/>
      <c r="W23" s="1"/>
      <c r="X23" s="1"/>
      <c r="Y23" s="1"/>
      <c r="Z23" s="1"/>
    </row>
    <row r="24" customFormat="false" ht="12.8" hidden="false" customHeight="false" outlineLevel="0" collapsed="false">
      <c r="A24" s="0" t="s">
        <v>120</v>
      </c>
      <c r="B24" s="1" t="s">
        <v>109</v>
      </c>
      <c r="C24" s="5" t="n">
        <f aca="false">C16+$P24-$P16</f>
        <v>386.511896111111</v>
      </c>
      <c r="D24" s="5" t="n">
        <f aca="false">D16+$P24-$P16</f>
        <v>386.129717222222</v>
      </c>
      <c r="E24" s="5" t="n">
        <f aca="false">E16+$P24-$P16</f>
        <v>384.983180555556</v>
      </c>
      <c r="F24" s="5" t="n">
        <f aca="false">F16+$P24-$P16</f>
        <v>382.442601666667</v>
      </c>
      <c r="G24" s="5" t="n">
        <f aca="false">G16+$P24-$P16</f>
        <v>378.562255555556</v>
      </c>
      <c r="H24" s="5" t="n">
        <f aca="false">H16+$P24-$P16</f>
        <v>373.35626</v>
      </c>
      <c r="I24" s="5" t="n">
        <f aca="false">I16+$P24-$P16</f>
        <v>366.830190555556</v>
      </c>
      <c r="J24" s="5" t="n">
        <f aca="false">J16+$P24-$P16</f>
        <v>358.986807777778</v>
      </c>
      <c r="K24" s="5" t="n">
        <f aca="false">K16+$P24-$P16</f>
        <v>349.827675</v>
      </c>
      <c r="L24" s="5" t="n">
        <f aca="false">L16+$P24-$P16</f>
        <v>339.353761666667</v>
      </c>
      <c r="M24" s="5" t="n">
        <f aca="false">M16+$P24-$P16</f>
        <v>327.720945555556</v>
      </c>
      <c r="N24" s="5" t="n">
        <f aca="false">N16+$P24-$P16</f>
        <v>300.350556666667</v>
      </c>
      <c r="O24" s="5" t="n">
        <f aca="false">O16+$P24-$P16</f>
        <v>294.870677777778</v>
      </c>
      <c r="P24" s="5" t="n">
        <f aca="false">5/9*(P8-32)</f>
        <v>290.934551980941</v>
      </c>
      <c r="Q24" s="1" t="s">
        <v>109</v>
      </c>
      <c r="R24" s="21" t="n">
        <f aca="false">(C24-C$23)/C$23</f>
        <v>-0.00113885236671999</v>
      </c>
      <c r="S24" s="21" t="n">
        <f aca="false">(D24-D$23)/D$23</f>
        <v>-0.00128004250439773</v>
      </c>
      <c r="T24" s="21" t="n">
        <f aca="false">(E24-E$23)/E$23</f>
        <v>-0.000855339879866678</v>
      </c>
      <c r="U24" s="21" t="n">
        <f aca="false">(F24-F$23)/F$23</f>
        <v>-0.000643953054564871</v>
      </c>
      <c r="V24" s="21" t="n">
        <f aca="false">(G24-G$23)/G$23</f>
        <v>-0.00050481958700866</v>
      </c>
      <c r="W24" s="21" t="n">
        <f aca="false">(H24-H$23)/H$23</f>
        <v>-0.000400959424748247</v>
      </c>
      <c r="X24" s="21" t="n">
        <f aca="false">(I24-I$23)/I$23</f>
        <v>-0.000317577444690732</v>
      </c>
      <c r="Y24" s="21" t="n">
        <f aca="false">(J24-J$23)/J$23</f>
        <v>-0.000247194039028438</v>
      </c>
      <c r="Z24" s="21" t="n">
        <f aca="false">(K24-K$23)/K$23</f>
        <v>-0.000185426744406641</v>
      </c>
      <c r="AA24" s="21" t="n">
        <f aca="false">(L24-L$23)/L$23</f>
        <v>-0.000129402327252102</v>
      </c>
      <c r="AB24" s="21" t="n">
        <f aca="false">(M24-M$23)/M$23</f>
        <v>-0.000103687852661742</v>
      </c>
      <c r="AC24" s="21" t="n">
        <f aca="false">(N24-N$23)/N$23</f>
        <v>-0.000108756707137061</v>
      </c>
      <c r="AD24" s="21" t="n">
        <f aca="false">(O24-O$23)/O$23</f>
        <v>-8.45651025132133E-005</v>
      </c>
    </row>
    <row r="25" customFormat="false" ht="12.8" hidden="false" customHeight="false" outlineLevel="0" collapsed="false">
      <c r="A25" s="0" t="s">
        <v>120</v>
      </c>
      <c r="B25" s="1" t="s">
        <v>110</v>
      </c>
      <c r="C25" s="5" t="n">
        <f aca="false">C17+$P25-$P17</f>
        <v>386.486515740741</v>
      </c>
      <c r="D25" s="5" t="n">
        <f aca="false">D17+$P25-$P17</f>
        <v>386.10447</v>
      </c>
      <c r="E25" s="5" t="n">
        <f aca="false">E17+$P25-$P17</f>
        <v>384.958332777778</v>
      </c>
      <c r="F25" s="5" t="n">
        <f aca="false">F17+$P25-$P17</f>
        <v>382.418628333333</v>
      </c>
      <c r="G25" s="5" t="n">
        <f aca="false">G17+$P25-$P17</f>
        <v>378.539588888889</v>
      </c>
      <c r="H25" s="5" t="n">
        <f aca="false">H17+$P25-$P17</f>
        <v>373.335291666667</v>
      </c>
      <c r="I25" s="5" t="n">
        <f aca="false">I17+$P25-$P17</f>
        <v>366.811264444444</v>
      </c>
      <c r="J25" s="5" t="n">
        <f aca="false">J17+$P25-$P17</f>
        <v>358.970211111111</v>
      </c>
      <c r="K25" s="5" t="n">
        <f aca="false">K17+$P25-$P17</f>
        <v>349.813633888889</v>
      </c>
      <c r="L25" s="5" t="n">
        <f aca="false">L17+$P25-$P17</f>
        <v>339.342433888889</v>
      </c>
      <c r="M25" s="5" t="n">
        <f aca="false">M17+$P25-$P17</f>
        <v>327.71238</v>
      </c>
      <c r="N25" s="5" t="n">
        <f aca="false">N17+$P25-$P17</f>
        <v>300.348155555556</v>
      </c>
      <c r="O25" s="5" t="n">
        <f aca="false">O17+$P25-$P17</f>
        <v>294.869541666667</v>
      </c>
      <c r="P25" s="5" t="n">
        <f aca="false">5/9*(P11-32)</f>
        <v>290.934551980941</v>
      </c>
      <c r="Q25" s="1" t="s">
        <v>110</v>
      </c>
      <c r="R25" s="21" t="n">
        <f aca="false">(C25-C$23)/C$23</f>
        <v>-0.00120444275638353</v>
      </c>
      <c r="S25" s="21" t="n">
        <f aca="false">(D25-D$23)/D$23</f>
        <v>-0.00134534414677353</v>
      </c>
      <c r="T25" s="21" t="n">
        <f aca="false">(E25-E$23)/E$23</f>
        <v>-0.000919827176290253</v>
      </c>
      <c r="U25" s="21" t="n">
        <f aca="false">(F25-F$23)/F$23</f>
        <v>-0.000706597476310163</v>
      </c>
      <c r="V25" s="21" t="n">
        <f aca="false">(G25-G$23)/G$23</f>
        <v>-0.000564665025260625</v>
      </c>
      <c r="W25" s="21" t="n">
        <f aca="false">(H25-H$23)/H$23</f>
        <v>-0.000457098635813035</v>
      </c>
      <c r="X25" s="21" t="n">
        <f aca="false">(I25-I$23)/I$23</f>
        <v>-0.000369154716933542</v>
      </c>
      <c r="Y25" s="21" t="n">
        <f aca="false">(J25-J$23)/J$23</f>
        <v>-0.000293414578920425</v>
      </c>
      <c r="Z25" s="21" t="n">
        <f aca="false">(K25-K$23)/K$23</f>
        <v>-0.000225556524057858</v>
      </c>
      <c r="AA25" s="21" t="n">
        <f aca="false">(L25-L$23)/L$23</f>
        <v>-0.00016277844744429</v>
      </c>
      <c r="AB25" s="21" t="n">
        <f aca="false">(M25-M$23)/M$23</f>
        <v>-0.000129821877745087</v>
      </c>
      <c r="AC25" s="21" t="n">
        <f aca="false">(N25-N$23)/N$23</f>
        <v>-0.000116750199810676</v>
      </c>
      <c r="AD25" s="21" t="n">
        <f aca="false">(O25-O$23)/O$23</f>
        <v>-8.84176898383807E-005</v>
      </c>
    </row>
    <row r="26" customFormat="false" ht="12.8" hidden="false" customHeight="false" outlineLevel="0" collapsed="false">
      <c r="A26" s="0" t="s">
        <v>120</v>
      </c>
      <c r="B26" s="1" t="s">
        <v>112</v>
      </c>
      <c r="C26" s="5" t="n">
        <f aca="false">C18+$P26-$P18</f>
        <v>386.517313333333</v>
      </c>
      <c r="D26" s="5" t="n">
        <f aca="false">D18+$P26-$P18</f>
        <v>386.135106111111</v>
      </c>
      <c r="E26" s="5" t="n">
        <f aca="false">E18+$P26-$P18</f>
        <v>384.988484444444</v>
      </c>
      <c r="F26" s="5" t="n">
        <f aca="false">F18+$P26-$P18</f>
        <v>382.447718333333</v>
      </c>
      <c r="G26" s="5" t="n">
        <f aca="false">G18+$P26-$P18</f>
        <v>378.567093333333</v>
      </c>
      <c r="H26" s="5" t="n">
        <f aca="false">H18+$P26-$P18</f>
        <v>373.360736111111</v>
      </c>
      <c r="I26" s="5" t="n">
        <f aca="false">I18+$P26-$P18</f>
        <v>366.834230555556</v>
      </c>
      <c r="J26" s="5" t="n">
        <f aca="false">J18+$P26-$P18</f>
        <v>358.99035</v>
      </c>
      <c r="K26" s="5" t="n">
        <f aca="false">K18+$P26-$P18</f>
        <v>349.830671666667</v>
      </c>
      <c r="L26" s="5" t="n">
        <f aca="false">L18+$P26-$P18</f>
        <v>339.356179444444</v>
      </c>
      <c r="M26" s="5" t="n">
        <f aca="false">M18+$P26-$P18</f>
        <v>327.722773888889</v>
      </c>
      <c r="N26" s="5" t="n">
        <f aca="false">N18+$P26-$P18</f>
        <v>300.351069444444</v>
      </c>
      <c r="O26" s="5" t="n">
        <f aca="false">O18+$P26-$P18</f>
        <v>294.870920555556</v>
      </c>
      <c r="P26" s="5" t="n">
        <f aca="false">5/9*(P9-32)</f>
        <v>290.934551980941</v>
      </c>
      <c r="Q26" s="1" t="s">
        <v>112</v>
      </c>
      <c r="R26" s="21" t="n">
        <f aca="false">(C26-C$23)/C$23</f>
        <v>-0.00112485266099232</v>
      </c>
      <c r="S26" s="21" t="n">
        <f aca="false">(D26-D$23)/D$23</f>
        <v>-0.00126610420687243</v>
      </c>
      <c r="T26" s="21" t="n">
        <f aca="false">(E26-E$23)/E$23</f>
        <v>-0.000841574727182494</v>
      </c>
      <c r="U26" s="21" t="n">
        <f aca="false">(F26-F$23)/F$23</f>
        <v>-0.000630582755986256</v>
      </c>
      <c r="V26" s="21" t="n">
        <f aca="false">(G26-G$23)/G$23</f>
        <v>-0.000492046692981934</v>
      </c>
      <c r="W26" s="21" t="n">
        <f aca="false">(H26-H$23)/H$23</f>
        <v>-0.000388975384699831</v>
      </c>
      <c r="X26" s="21" t="n">
        <f aca="false">(I26-I$23)/I$23</f>
        <v>-0.000306567672073802</v>
      </c>
      <c r="Y26" s="21" t="n">
        <f aca="false">(J26-J$23)/J$23</f>
        <v>-0.000237329201298255</v>
      </c>
      <c r="Z26" s="21" t="n">
        <f aca="false">(K26-K$23)/K$23</f>
        <v>-0.000176862210441405</v>
      </c>
      <c r="AA26" s="21" t="n">
        <f aca="false">(L26-L$23)/L$23</f>
        <v>-0.000122278596252944</v>
      </c>
      <c r="AB26" s="21" t="n">
        <f aca="false">(M26-M$23)/M$23</f>
        <v>-9.8109497716301E-005</v>
      </c>
      <c r="AC26" s="21" t="n">
        <f aca="false">(N26-N$23)/N$23</f>
        <v>-0.000107049628530518</v>
      </c>
      <c r="AD26" s="21" t="n">
        <f aca="false">(O26-O$23)/O$23</f>
        <v>-8.37418356863013E-005</v>
      </c>
    </row>
    <row r="27" customFormat="false" ht="12.8" hidden="false" customHeight="false" outlineLevel="0" collapsed="false">
      <c r="A27" s="0" t="s">
        <v>120</v>
      </c>
      <c r="B27" s="1" t="s">
        <v>113</v>
      </c>
      <c r="C27" s="5" t="n">
        <f aca="false">C19+$P27-$P19</f>
        <v>386.211111111111</v>
      </c>
      <c r="D27" s="5" t="n">
        <f aca="false">D19+$P27-$P19</f>
        <v>385.949655555556</v>
      </c>
      <c r="E27" s="5" t="n">
        <f aca="false">E19+$P27-$P19</f>
        <v>384.893963333333</v>
      </c>
      <c r="F27" s="5" t="n">
        <f aca="false">F19+$P27-$P19</f>
        <v>382.386937777778</v>
      </c>
      <c r="G27" s="5" t="n">
        <f aca="false">G19+$P27-$P19</f>
        <v>378.52652</v>
      </c>
      <c r="H27" s="5" t="n">
        <f aca="false">H19+$P27-$P19</f>
        <v>373.334678333333</v>
      </c>
      <c r="I27" s="5" t="n">
        <f aca="false">I19+$P27-$P19</f>
        <v>366.819543333333</v>
      </c>
      <c r="J27" s="5" t="n">
        <f aca="false">J19+$P27-$P19</f>
        <v>358.985027222222</v>
      </c>
      <c r="K27" s="5" t="n">
        <f aca="false">K19+$P27-$P19</f>
        <v>349.833318333333</v>
      </c>
      <c r="L27" s="5" t="n">
        <f aca="false">L19+$P27-$P19</f>
        <v>339.365766111111</v>
      </c>
      <c r="M27" s="5" t="n">
        <f aca="false">M19+$P27-$P19</f>
        <v>327.730237222222</v>
      </c>
      <c r="N27" s="5" t="n">
        <f aca="false">N19+$P27-$P19</f>
        <v>300.358532777778</v>
      </c>
      <c r="O27" s="5" t="n">
        <f aca="false">O19+$P27-$P19</f>
        <v>294.870922777778</v>
      </c>
      <c r="P27" s="5" t="n">
        <f aca="false">5/9*(P10-32)</f>
        <v>290.934551980941</v>
      </c>
    </row>
    <row r="28" customFormat="false" ht="12.8" hidden="false" customHeight="false" outlineLevel="0" collapsed="false">
      <c r="Q28" s="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31" customFormat="false" ht="12.8" hidden="false" customHeight="false" outlineLevel="0" collapsed="false">
      <c r="C31" s="1"/>
      <c r="D31" s="1" t="s">
        <v>122</v>
      </c>
    </row>
    <row r="32" customFormat="false" ht="12.8" hidden="false" customHeight="false" outlineLevel="0" collapsed="false">
      <c r="B32" s="5"/>
      <c r="C32" s="5"/>
      <c r="D32" s="5" t="n">
        <v>727.033491</v>
      </c>
      <c r="E32" s="5" t="n">
        <v>724.969725</v>
      </c>
      <c r="F32" s="5" t="n">
        <v>720.396683</v>
      </c>
      <c r="G32" s="5" t="n">
        <v>713.41206</v>
      </c>
      <c r="H32" s="5" t="n">
        <v>704.041268</v>
      </c>
      <c r="I32" s="5" t="n">
        <v>692.294343</v>
      </c>
      <c r="J32" s="5" t="n">
        <v>678.176254</v>
      </c>
      <c r="K32" s="5" t="n">
        <v>661.689815</v>
      </c>
      <c r="L32" s="5" t="n">
        <v>642.836771</v>
      </c>
      <c r="M32" s="5" t="n">
        <v>621.897702</v>
      </c>
      <c r="N32" s="5" t="n">
        <v>572.631002</v>
      </c>
      <c r="O32" s="5" t="n">
        <v>562.76722</v>
      </c>
      <c r="P32" s="5"/>
    </row>
    <row r="33" customFormat="false" ht="12.8" hidden="false" customHeight="false" outlineLevel="0" collapsed="false">
      <c r="A33" s="5"/>
      <c r="D33" s="1" t="n">
        <v>726.988046</v>
      </c>
      <c r="E33" s="1" t="n">
        <v>724.924999</v>
      </c>
      <c r="F33" s="1" t="n">
        <v>720.353531</v>
      </c>
      <c r="G33" s="1" t="n">
        <v>713.37126</v>
      </c>
      <c r="H33" s="1" t="n">
        <v>704.003525</v>
      </c>
      <c r="I33" s="1" t="n">
        <v>692.260276</v>
      </c>
      <c r="J33" s="1" t="n">
        <v>678.14638</v>
      </c>
      <c r="K33" s="1" t="n">
        <v>661.664541</v>
      </c>
      <c r="L33" s="1" t="n">
        <v>642.816381</v>
      </c>
      <c r="M33" s="1" t="n">
        <v>621.882284</v>
      </c>
      <c r="N33" s="1" t="n">
        <v>572.62668</v>
      </c>
      <c r="O33" s="1" t="n">
        <v>562.765175</v>
      </c>
    </row>
    <row r="34" customFormat="false" ht="12.8" hidden="false" customHeight="false" outlineLevel="0" collapsed="false">
      <c r="D34" s="1" t="n">
        <v>727.043191</v>
      </c>
      <c r="E34" s="1" t="n">
        <v>724.979272</v>
      </c>
      <c r="F34" s="1" t="n">
        <v>720.405893</v>
      </c>
      <c r="G34" s="1" t="n">
        <v>713.420768</v>
      </c>
      <c r="H34" s="1" t="n">
        <v>704.049325</v>
      </c>
      <c r="I34" s="1" t="n">
        <v>692.301615</v>
      </c>
      <c r="J34" s="1" t="n">
        <v>678.18263</v>
      </c>
      <c r="K34" s="1" t="n">
        <v>661.695209</v>
      </c>
      <c r="L34" s="1" t="n">
        <v>642.841123</v>
      </c>
      <c r="M34" s="1" t="n">
        <v>621.900993</v>
      </c>
      <c r="N34" s="1" t="n">
        <v>572.631925</v>
      </c>
      <c r="O34" s="1" t="n">
        <v>562.767657</v>
      </c>
    </row>
  </sheetData>
  <mergeCells count="1">
    <mergeCell ref="A1:D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18" activeCellId="0" sqref="S18"/>
    </sheetView>
  </sheetViews>
  <sheetFormatPr defaultRowHeight="12.8"/>
  <cols>
    <col collapsed="false" hidden="false" max="1" min="1" style="0" width="11.5204081632653"/>
    <col collapsed="false" hidden="false" max="2" min="2" style="0" width="16.5765306122449"/>
    <col collapsed="false" hidden="false" max="4" min="3" style="0" width="14.4438775510204"/>
    <col collapsed="false" hidden="false" max="15" min="5" style="0" width="11.5204081632653"/>
    <col collapsed="false" hidden="false" max="17" min="16" style="0" width="17.3775510204082"/>
    <col collapsed="false" hidden="false" max="1025" min="18" style="0" width="11.5204081632653"/>
  </cols>
  <sheetData>
    <row r="1" customFormat="false" ht="12.8" hidden="false" customHeight="false" outlineLevel="0" collapsed="false">
      <c r="A1" s="14" t="s">
        <v>124</v>
      </c>
      <c r="B1" s="14"/>
      <c r="C1" s="14"/>
      <c r="D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12.8" hidden="false" customHeight="false" outlineLevel="0" collapsed="false">
      <c r="A2" s="14"/>
      <c r="B2" s="14"/>
      <c r="C2" s="14"/>
      <c r="D2" s="14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customFormat="false" ht="12.8" hidden="false" customHeight="false" outlineLevel="0" collapsed="false">
      <c r="B3" s="1"/>
      <c r="C3" s="5"/>
      <c r="D3" s="16"/>
      <c r="E3" s="5"/>
      <c r="F3" s="17"/>
    </row>
    <row r="4" customFormat="false" ht="12.8" hidden="false" customHeight="false" outlineLevel="0" collapsed="false">
      <c r="B4" s="1"/>
      <c r="C4" s="5"/>
      <c r="D4" s="16"/>
      <c r="E4" s="5"/>
      <c r="F4" s="17"/>
    </row>
    <row r="5" customFormat="false" ht="12.8" hidden="false" customHeight="false" outlineLevel="0" collapsed="false">
      <c r="B5" s="1"/>
      <c r="C5" s="5"/>
      <c r="D5" s="16"/>
      <c r="E5" s="5"/>
      <c r="F5" s="17"/>
    </row>
    <row r="6" customFormat="false" ht="12.8" hidden="false" customHeight="false" outlineLevel="0" collapsed="false">
      <c r="C6" s="4" t="s">
        <v>104</v>
      </c>
    </row>
    <row r="7" customFormat="false" ht="12.8" hidden="false" customHeight="false" outlineLevel="0" collapsed="false">
      <c r="B7" s="0" t="s">
        <v>105</v>
      </c>
      <c r="D7" s="10" t="n">
        <f aca="false">D8</f>
        <v>0.000487298838370701</v>
      </c>
      <c r="E7" s="10" t="n">
        <f aca="false">E8</f>
        <v>0.00108963332795357</v>
      </c>
      <c r="F7" s="0" t="n">
        <f aca="false">F8-E8</f>
        <v>0.00066734762026603</v>
      </c>
      <c r="G7" s="0" t="n">
        <f aca="false">G8-F8</f>
        <v>0.0006795132436339</v>
      </c>
      <c r="H7" s="0" t="n">
        <f aca="false">H8-G8</f>
        <v>0.00068374081099081</v>
      </c>
      <c r="I7" s="0" t="n">
        <f aca="false">I8-H8</f>
        <v>0.00068569059161015</v>
      </c>
      <c r="J7" s="0" t="n">
        <f aca="false">J8-I8</f>
        <v>0.0006867477098914</v>
      </c>
      <c r="K7" s="0" t="n">
        <f aca="false">K8-J8</f>
        <v>0.00068738440191091</v>
      </c>
      <c r="L7" s="0" t="n">
        <f aca="false">L8-K8</f>
        <v>0.00068779734411965</v>
      </c>
      <c r="M7" s="0" t="n">
        <f aca="false">M8-L8</f>
        <v>0.00068808031963873</v>
      </c>
      <c r="N7" s="0" t="n">
        <f aca="false">N8-M8</f>
        <v>0.00068828266169214</v>
      </c>
      <c r="O7" s="0" t="n">
        <f aca="false">O8-N8</f>
        <v>0.000688432334817139</v>
      </c>
      <c r="P7" s="0" t="n">
        <f aca="false">P8-O8</f>
        <v>0.000688546152267901</v>
      </c>
      <c r="Q7" s="0" t="n">
        <f aca="false">Q8-P8</f>
        <v>0.00068863471626578</v>
      </c>
      <c r="R7" s="0" t="n">
        <f aca="false">R8-Q8</f>
        <v>0.000688704981128739</v>
      </c>
      <c r="S7" s="0" t="n">
        <f aca="false">S8-R8</f>
        <v>0.000688761662091151</v>
      </c>
      <c r="T7" s="0" t="n">
        <f aca="false">T8-S8</f>
        <v>0.000688808047881498</v>
      </c>
      <c r="U7" s="0" t="n">
        <f aca="false">U8-T8</f>
        <v>0.000688846488950501</v>
      </c>
      <c r="V7" s="0" t="n">
        <f aca="false">V8-U8</f>
        <v>0.000688878701305299</v>
      </c>
      <c r="W7" s="0" t="n">
        <f aca="false">W8-V8</f>
        <v>0.000684489093558499</v>
      </c>
      <c r="X7" s="0" t="n">
        <f aca="false">X8-W8</f>
        <v>0.000275590551181102</v>
      </c>
      <c r="Y7" s="0" t="n">
        <f aca="false">Y8-X8</f>
        <v>0.0018700787401574</v>
      </c>
      <c r="Z7" s="1" t="s">
        <v>106</v>
      </c>
    </row>
    <row r="8" customFormat="false" ht="12.8" hidden="false" customHeight="false" outlineLevel="0" collapsed="false">
      <c r="B8" s="0" t="s">
        <v>107</v>
      </c>
      <c r="C8" s="0" t="n">
        <v>0</v>
      </c>
      <c r="D8" s="10" t="n">
        <v>0.000487298838370701</v>
      </c>
      <c r="E8" s="10" t="n">
        <v>0.00108963332795357</v>
      </c>
      <c r="F8" s="10" t="n">
        <v>0.0017569809482196</v>
      </c>
      <c r="G8" s="10" t="n">
        <v>0.0024364941918535</v>
      </c>
      <c r="H8" s="10" t="n">
        <v>0.00312023500284431</v>
      </c>
      <c r="I8" s="10" t="n">
        <v>0.00380592559445446</v>
      </c>
      <c r="J8" s="10" t="n">
        <v>0.00449267330434586</v>
      </c>
      <c r="K8" s="10" t="n">
        <v>0.00518005770625677</v>
      </c>
      <c r="L8" s="10" t="n">
        <v>0.00586785505037642</v>
      </c>
      <c r="M8" s="10" t="n">
        <v>0.00655593537001515</v>
      </c>
      <c r="N8" s="10" t="n">
        <v>0.00724421803170729</v>
      </c>
      <c r="O8" s="10" t="n">
        <v>0.00793265036652443</v>
      </c>
      <c r="P8" s="10" t="n">
        <v>0.00862119651879233</v>
      </c>
      <c r="Q8" s="10" t="n">
        <v>0.00930983123505811</v>
      </c>
      <c r="R8" s="10" t="n">
        <v>0.00999853621618685</v>
      </c>
      <c r="S8" s="10" t="n">
        <v>0.010687297878278</v>
      </c>
      <c r="T8" s="10" t="n">
        <v>0.0113761059261595</v>
      </c>
      <c r="U8" s="10" t="n">
        <v>0.01206495241511</v>
      </c>
      <c r="V8" s="10" t="n">
        <v>0.0127538311164153</v>
      </c>
      <c r="W8" s="10" t="n">
        <v>0.0134383202099738</v>
      </c>
      <c r="X8" s="10" t="n">
        <v>0.0137139107611549</v>
      </c>
      <c r="Y8" s="10" t="n">
        <v>0.0155839895013123</v>
      </c>
      <c r="Z8" s="18" t="n">
        <f aca="false">(t_in+q_lin*dz*2/(M_dot*cp_in))*9/5+32</f>
        <v>555.682193565694</v>
      </c>
    </row>
    <row r="9" customFormat="false" ht="12.8" hidden="false" customHeight="false" outlineLevel="0" collapsed="false">
      <c r="A9" s="0" t="s">
        <v>108</v>
      </c>
      <c r="B9" s="1" t="s">
        <v>109</v>
      </c>
      <c r="C9" s="5" t="n">
        <f aca="false">1/3*(4*D9-E9)</f>
        <v>728.223315666667</v>
      </c>
      <c r="D9" s="20" t="n">
        <v>728.060042</v>
      </c>
      <c r="E9" s="5" t="n">
        <v>727.570221</v>
      </c>
      <c r="F9" s="5" t="n">
        <v>726.48484</v>
      </c>
      <c r="G9" s="5" t="n">
        <v>724.827089</v>
      </c>
      <c r="H9" s="5" t="n">
        <v>722.603002</v>
      </c>
      <c r="I9" s="5" t="n">
        <v>719.814962</v>
      </c>
      <c r="J9" s="5" t="n">
        <v>716.464154</v>
      </c>
      <c r="K9" s="5" t="n">
        <v>712.55125</v>
      </c>
      <c r="L9" s="5" t="n">
        <v>708.076668</v>
      </c>
      <c r="M9" s="5" t="n">
        <v>703.040685</v>
      </c>
      <c r="N9" s="5" t="n">
        <v>697.443495</v>
      </c>
      <c r="O9" s="5" t="n">
        <v>691.285237</v>
      </c>
      <c r="P9" s="5" t="n">
        <v>684.566015</v>
      </c>
      <c r="Q9" s="5" t="n">
        <v>677.285909</v>
      </c>
      <c r="R9" s="5" t="n">
        <v>669.444979</v>
      </c>
      <c r="S9" s="5" t="n">
        <v>661.043275</v>
      </c>
      <c r="T9" s="0" t="n">
        <v>652.080834</v>
      </c>
      <c r="U9" s="0" t="n">
        <v>642.557688</v>
      </c>
      <c r="V9" s="0" t="n">
        <v>632.473862</v>
      </c>
      <c r="W9" s="0" t="n">
        <v>621.897624</v>
      </c>
      <c r="X9" s="0" t="n">
        <v>572.630981</v>
      </c>
      <c r="Y9" s="0" t="n">
        <v>562.76721</v>
      </c>
      <c r="Z9" s="10" t="n">
        <f aca="false">Z8</f>
        <v>555.682193565694</v>
      </c>
    </row>
    <row r="10" customFormat="false" ht="12.8" hidden="false" customHeight="false" outlineLevel="0" collapsed="false">
      <c r="A10" s="0" t="s">
        <v>108</v>
      </c>
      <c r="B10" s="1" t="s">
        <v>110</v>
      </c>
      <c r="C10" s="5" t="n">
        <f aca="false">1/3*(4*D10-E10)</f>
        <v>728.176952666667</v>
      </c>
      <c r="D10" s="19" t="n">
        <v>728.013737</v>
      </c>
      <c r="E10" s="0" t="n">
        <v>727.52409</v>
      </c>
      <c r="F10" s="0" t="n">
        <v>726.439092</v>
      </c>
      <c r="G10" s="0" t="n">
        <v>724.781924</v>
      </c>
      <c r="H10" s="0" t="n">
        <v>722.558612</v>
      </c>
      <c r="I10" s="0" t="n">
        <v>719.771536</v>
      </c>
      <c r="J10" s="0" t="n">
        <v>716.421871</v>
      </c>
      <c r="K10" s="0" t="n">
        <v>712.510284</v>
      </c>
      <c r="L10" s="0" t="n">
        <v>708.037183</v>
      </c>
      <c r="M10" s="0" t="n">
        <v>703.002837</v>
      </c>
      <c r="N10" s="0" t="n">
        <v>697.407428</v>
      </c>
      <c r="O10" s="0" t="n">
        <v>691.251085</v>
      </c>
      <c r="P10" s="0" t="n">
        <v>684.533899</v>
      </c>
      <c r="Q10" s="0" t="n">
        <v>677.255937</v>
      </c>
      <c r="R10" s="0" t="n">
        <v>669.417246</v>
      </c>
      <c r="S10" s="0" t="n">
        <v>661.01786</v>
      </c>
      <c r="T10" s="0" t="n">
        <v>652.057805</v>
      </c>
      <c r="U10" s="0" t="n">
        <v>642.537095</v>
      </c>
      <c r="V10" s="0" t="n">
        <v>632.455743</v>
      </c>
      <c r="W10" s="0" t="n">
        <v>621.881983</v>
      </c>
      <c r="X10" s="0" t="n">
        <v>572.626596</v>
      </c>
      <c r="Y10" s="0" t="n">
        <v>562.765135</v>
      </c>
      <c r="Z10" s="10" t="n">
        <f aca="false">Z11</f>
        <v>555.682193565694</v>
      </c>
    </row>
    <row r="11" customFormat="false" ht="12.8" hidden="false" customHeight="false" outlineLevel="0" collapsed="false">
      <c r="A11" s="0" t="s">
        <v>108</v>
      </c>
      <c r="B11" s="1" t="s">
        <v>112</v>
      </c>
      <c r="C11" s="5" t="n">
        <f aca="false">1/3*(4*D11-E11)</f>
        <v>728.233300333333</v>
      </c>
      <c r="D11" s="20" t="n">
        <v>728.070014</v>
      </c>
      <c r="E11" s="0" t="n">
        <v>727.580155</v>
      </c>
      <c r="F11" s="0" t="n">
        <v>726.494692</v>
      </c>
      <c r="G11" s="0" t="n">
        <v>724.836815</v>
      </c>
      <c r="H11" s="0" t="n">
        <v>722.612561</v>
      </c>
      <c r="I11" s="0" t="n">
        <v>719.824314</v>
      </c>
      <c r="J11" s="0" t="n">
        <v>716.47326</v>
      </c>
      <c r="K11" s="0" t="n">
        <v>712.560072</v>
      </c>
      <c r="L11" s="0" t="n">
        <v>708.08517</v>
      </c>
      <c r="M11" s="0" t="n">
        <v>703.048835</v>
      </c>
      <c r="N11" s="0" t="n">
        <v>697.451261</v>
      </c>
      <c r="O11" s="0" t="n">
        <v>691.292591</v>
      </c>
      <c r="P11" s="0" t="n">
        <v>684.572931</v>
      </c>
      <c r="Q11" s="0" t="n">
        <v>677.292363</v>
      </c>
      <c r="R11" s="0" t="n">
        <v>669.450952</v>
      </c>
      <c r="S11" s="0" t="n">
        <v>661.048748</v>
      </c>
      <c r="T11" s="0" t="n">
        <v>652.085793</v>
      </c>
      <c r="U11" s="0" t="n">
        <v>642.562123</v>
      </c>
      <c r="V11" s="0" t="n">
        <v>632.477764</v>
      </c>
      <c r="W11" s="0" t="n">
        <v>621.900993</v>
      </c>
      <c r="X11" s="0" t="n">
        <v>572.631925</v>
      </c>
      <c r="Y11" s="0" t="n">
        <v>562.767657</v>
      </c>
      <c r="Z11" s="10" t="n">
        <f aca="false">Z9</f>
        <v>555.682193565694</v>
      </c>
    </row>
    <row r="12" customFormat="false" ht="12.8" hidden="false" customHeight="false" outlineLevel="0" collapsed="false">
      <c r="A12" s="0" t="s">
        <v>108</v>
      </c>
      <c r="B12" s="1" t="s">
        <v>113</v>
      </c>
      <c r="C12" s="5" t="n">
        <f aca="false">1/3*(4*D12-E12)</f>
        <v>728.13271</v>
      </c>
      <c r="D12" s="0" t="n">
        <v>727.982373</v>
      </c>
      <c r="E12" s="0" t="n">
        <v>727.531362</v>
      </c>
      <c r="F12" s="0" t="n">
        <v>726.460313</v>
      </c>
      <c r="G12" s="0" t="n">
        <v>724.81107</v>
      </c>
      <c r="H12" s="0" t="n">
        <v>722.593016</v>
      </c>
      <c r="I12" s="0" t="n">
        <v>719.809627</v>
      </c>
      <c r="J12" s="0" t="n">
        <v>716.462574</v>
      </c>
      <c r="K12" s="0" t="n">
        <v>712.55279</v>
      </c>
      <c r="L12" s="0" t="n">
        <v>708.080854</v>
      </c>
      <c r="M12" s="0" t="n">
        <v>703.047146</v>
      </c>
      <c r="N12" s="0" t="n">
        <v>697.451931</v>
      </c>
      <c r="O12" s="0" t="n">
        <v>691.295401</v>
      </c>
      <c r="P12" s="0" t="n">
        <v>684.577701</v>
      </c>
      <c r="Q12" s="0" t="n">
        <v>677.29894</v>
      </c>
      <c r="R12" s="0" t="n">
        <v>669.459205</v>
      </c>
      <c r="S12" s="0" t="n">
        <v>661.058565</v>
      </c>
      <c r="T12" s="0" t="n">
        <v>652.097076</v>
      </c>
      <c r="U12" s="0" t="n">
        <v>642.574784</v>
      </c>
      <c r="V12" s="0" t="n">
        <v>632.491727</v>
      </c>
      <c r="W12" s="0" t="n">
        <v>621.914427</v>
      </c>
      <c r="X12" s="0" t="n">
        <v>572.645359</v>
      </c>
      <c r="Y12" s="0" t="n">
        <v>562.767661</v>
      </c>
      <c r="Z12" s="10" t="n">
        <f aca="false">Z10</f>
        <v>555.682193565694</v>
      </c>
    </row>
    <row r="13" customFormat="false" ht="12.8" hidden="false" customHeight="false" outlineLevel="0" collapsed="false">
      <c r="C13" s="4" t="s">
        <v>114</v>
      </c>
    </row>
    <row r="14" customFormat="false" ht="12.8" hidden="false" customHeight="false" outlineLevel="0" collapsed="false">
      <c r="B14" s="1" t="s">
        <v>115</v>
      </c>
      <c r="C14" s="5" t="n">
        <f aca="false">(C8)*t_ft_m*100</f>
        <v>0</v>
      </c>
      <c r="D14" s="5" t="n">
        <f aca="false">(D8)*t_ft_m*100</f>
        <v>0.014852868593539</v>
      </c>
      <c r="E14" s="5" t="n">
        <f aca="false">(E8)*t_ft_m*100</f>
        <v>0.0332120238360248</v>
      </c>
      <c r="F14" s="5" t="n">
        <f aca="false">(F8)*t_ft_m*100</f>
        <v>0.0535527793017334</v>
      </c>
      <c r="G14" s="5" t="n">
        <f aca="false">(G8)*t_ft_m*100</f>
        <v>0.0742643429676947</v>
      </c>
      <c r="H14" s="5" t="n">
        <f aca="false">(H8)*t_ft_m*100</f>
        <v>0.0951047628866946</v>
      </c>
      <c r="I14" s="5" t="n">
        <f aca="false">(I8)*t_ft_m*100</f>
        <v>0.116004612118972</v>
      </c>
      <c r="J14" s="5" t="n">
        <f aca="false">(J8)*t_ft_m*100</f>
        <v>0.136936682316462</v>
      </c>
      <c r="K14" s="5" t="n">
        <f aca="false">(K8)*t_ft_m*100</f>
        <v>0.157888158886706</v>
      </c>
      <c r="L14" s="5" t="n">
        <f aca="false">(L8)*t_ft_m*100</f>
        <v>0.178852221935473</v>
      </c>
      <c r="M14" s="5" t="n">
        <f aca="false">(M8)*t_ft_m*100</f>
        <v>0.199824910078062</v>
      </c>
      <c r="N14" s="5" t="n">
        <f aca="false">(N8)*t_ft_m*100</f>
        <v>0.220803765606438</v>
      </c>
      <c r="O14" s="5" t="n">
        <f aca="false">(O8)*t_ft_m*100</f>
        <v>0.241787183171665</v>
      </c>
      <c r="P14" s="5" t="n">
        <f aca="false">(P8)*t_ft_m*100</f>
        <v>0.26277406989279</v>
      </c>
      <c r="Q14" s="5" t="n">
        <f aca="false">(Q8)*t_ft_m*100</f>
        <v>0.283763656044571</v>
      </c>
      <c r="R14" s="5" t="n">
        <f aca="false">(R8)*t_ft_m*100</f>
        <v>0.304755383869375</v>
      </c>
      <c r="S14" s="5" t="n">
        <f aca="false">(S8)*t_ft_m*100</f>
        <v>0.325748839329913</v>
      </c>
      <c r="T14" s="5" t="n">
        <f aca="false">(T8)*t_ft_m*100</f>
        <v>0.346743708629342</v>
      </c>
      <c r="U14" s="5" t="n">
        <f aca="false">(U8)*t_ft_m*100</f>
        <v>0.367739749612553</v>
      </c>
      <c r="V14" s="5" t="n">
        <f aca="false">(V8)*t_ft_m*100</f>
        <v>0.388736772428338</v>
      </c>
      <c r="W14" s="5" t="n">
        <f aca="false">(W8)*t_ft_m*100</f>
        <v>0.409600000000001</v>
      </c>
      <c r="X14" s="5" t="n">
        <f aca="false">(X8)*t_ft_m*100</f>
        <v>0.418000000000001</v>
      </c>
      <c r="Y14" s="5" t="n">
        <f aca="false">(Y8)*t_ft_m*100</f>
        <v>0.474999999999999</v>
      </c>
      <c r="AB14" s="5"/>
      <c r="AC14" s="3" t="s">
        <v>118</v>
      </c>
      <c r="AD14" s="8"/>
      <c r="AE14" s="1"/>
      <c r="AF14" s="1"/>
      <c r="AG14" s="1"/>
      <c r="AH14" s="1"/>
      <c r="AI14" s="1"/>
      <c r="AJ14" s="1"/>
      <c r="AK14" s="1"/>
    </row>
    <row r="15" customFormat="false" ht="12.8" hidden="false" customHeight="false" outlineLevel="0" collapsed="false">
      <c r="A15" s="0" t="s">
        <v>116</v>
      </c>
      <c r="B15" s="1" t="s">
        <v>117</v>
      </c>
      <c r="C15" s="5" t="n">
        <f aca="false">q_dot*1000/(4*k_fuel)*((R_fuel/100)^2)*(1-(C14/R_fuel)^2)+delta_gap+delta_clad</f>
        <v>92.0569623145947</v>
      </c>
      <c r="D15" s="5" t="n">
        <f aca="false">q_dot*1000/(4*k_fuel)*((R_fuel/100)^2)*(1-(D14/R_fuel)^2)+delta_gap+delta_clad</f>
        <v>91.9791218830234</v>
      </c>
      <c r="E15" s="5" t="n">
        <f aca="false">q_dot*1000/(4*k_fuel)*((R_fuel/100)^2)*(1-(E14/R_fuel)^2)+delta_gap+delta_clad</f>
        <v>91.6677601567385</v>
      </c>
      <c r="F15" s="5" t="n">
        <f aca="false">q_dot*1000/(4*k_fuel)*((R_fuel/100)^2)*(1-(F14/R_fuel)^2)+delta_gap+delta_clad</f>
        <v>91.0450367041687</v>
      </c>
      <c r="G15" s="5" t="n">
        <f aca="false">q_dot*1000/(4*k_fuel)*((R_fuel/100)^2)*(1-(G14/R_fuel)^2)+delta_gap+delta_clad</f>
        <v>90.110951525314</v>
      </c>
      <c r="H15" s="5" t="n">
        <f aca="false">q_dot*1000/(4*k_fuel)*((R_fuel/100)^2)*(1-(H14/R_fuel)^2)+delta_gap+delta_clad</f>
        <v>88.8655046201743</v>
      </c>
      <c r="I15" s="5" t="n">
        <f aca="false">q_dot*1000/(4*k_fuel)*((R_fuel/100)^2)*(1-(I14/R_fuel)^2)+delta_gap+delta_clad</f>
        <v>87.3086959887497</v>
      </c>
      <c r="J15" s="5" t="n">
        <f aca="false">q_dot*1000/(4*k_fuel)*((R_fuel/100)^2)*(1-(J14/R_fuel)^2)+delta_gap+delta_clad</f>
        <v>85.4405256310402</v>
      </c>
      <c r="K15" s="5" t="n">
        <f aca="false">q_dot*1000/(4*k_fuel)*((R_fuel/100)^2)*(1-(K14/R_fuel)^2)+delta_gap+delta_clad</f>
        <v>83.2609935470458</v>
      </c>
      <c r="L15" s="5" t="n">
        <f aca="false">q_dot*1000/(4*k_fuel)*((R_fuel/100)^2)*(1-(L14/R_fuel)^2)+delta_gap+delta_clad</f>
        <v>80.7700997367665</v>
      </c>
      <c r="M15" s="5" t="n">
        <f aca="false">q_dot*1000/(4*k_fuel)*((R_fuel/100)^2)*(1-(M14/R_fuel)^2)+delta_gap+delta_clad</f>
        <v>77.9678442002023</v>
      </c>
      <c r="N15" s="5" t="n">
        <f aca="false">q_dot*1000/(4*k_fuel)*((R_fuel/100)^2)*(1-(N14/R_fuel)^2)+delta_gap+delta_clad</f>
        <v>74.8542269373531</v>
      </c>
      <c r="O15" s="5" t="n">
        <f aca="false">q_dot*1000/(4*k_fuel)*((R_fuel/100)^2)*(1-(O14/R_fuel)^2)+delta_gap+delta_clad</f>
        <v>71.4292479482191</v>
      </c>
      <c r="P15" s="5" t="n">
        <f aca="false">q_dot*1000/(4*k_fuel)*((R_fuel/100)^2)*(1-(P14/R_fuel)^2)+delta_gap+delta_clad</f>
        <v>67.6929072328001</v>
      </c>
      <c r="Q15" s="5" t="n">
        <f aca="false">q_dot*1000/(4*k_fuel)*((R_fuel/100)^2)*(1-(Q14/R_fuel)^2)+delta_gap+delta_clad</f>
        <v>63.6452047910962</v>
      </c>
      <c r="R15" s="5" t="n">
        <f aca="false">q_dot*1000/(4*k_fuel)*((R_fuel/100)^2)*(1-(R14/R_fuel)^2)+delta_gap+delta_clad</f>
        <v>59.2861406231074</v>
      </c>
      <c r="S15" s="5" t="n">
        <f aca="false">q_dot*1000/(4*k_fuel)*((R_fuel/100)^2)*(1-(S14/R_fuel)^2)+delta_gap+delta_clad</f>
        <v>54.6157147288339</v>
      </c>
      <c r="T15" s="5" t="n">
        <f aca="false">q_dot*1000/(4*k_fuel)*((R_fuel/100)^2)*(1-(T14/R_fuel)^2)+delta_gap+delta_clad</f>
        <v>49.6339271082753</v>
      </c>
      <c r="U15" s="5" t="n">
        <f aca="false">q_dot*1000/(4*k_fuel)*((R_fuel/100)^2)*(1-(U14/R_fuel)^2)+delta_gap+delta_clad</f>
        <v>44.3407777614311</v>
      </c>
      <c r="V15" s="5" t="n">
        <f aca="false">q_dot*1000/(4*k_fuel)*((R_fuel/100)^2)*(1-(V14/R_fuel)^2)+delta_gap+delta_clad</f>
        <v>38.736266688303</v>
      </c>
      <c r="W15" s="5" t="n">
        <f aca="false">delta_gap+delta_clad</f>
        <v>32.8593141046753</v>
      </c>
      <c r="X15" s="5" t="n">
        <f aca="false">delta_clad</f>
        <v>5.4876097013893</v>
      </c>
      <c r="Y15" s="5" t="n">
        <v>0</v>
      </c>
      <c r="Z15" s="5" t="n">
        <f aca="false">-delta_fluid</f>
        <v>-3.96106367480532</v>
      </c>
      <c r="AB15" s="1" t="s">
        <v>109</v>
      </c>
      <c r="AC15" s="7" t="n">
        <f aca="false">C16-C$15</f>
        <v>-0.136903610890954</v>
      </c>
      <c r="AD15" s="7" t="n">
        <f aca="false">D16-D$15</f>
        <v>-0.14977077191233</v>
      </c>
      <c r="AE15" s="7" t="n">
        <f aca="false">E16-E$15</f>
        <v>-0.110531823405182</v>
      </c>
      <c r="AF15" s="7" t="n">
        <f aca="false">F16-F$15</f>
        <v>-0.0907978152797995</v>
      </c>
      <c r="AG15" s="7" t="n">
        <f aca="false">G16-G$15</f>
        <v>-0.0776854142028185</v>
      </c>
      <c r="AH15" s="7" t="n">
        <f aca="false">H16-H$15</f>
        <v>-0.067842397952063</v>
      </c>
      <c r="AI15" s="7" t="n">
        <f aca="false">I16-I$15</f>
        <v>-0.0599448776385572</v>
      </c>
      <c r="AJ15" s="7" t="n">
        <f aca="false">J16-J$15</f>
        <v>-0.0533345199290949</v>
      </c>
      <c r="AK15" s="7" t="n">
        <f aca="false">K16-K$15</f>
        <v>-0.0476379914902481</v>
      </c>
      <c r="AL15" s="7" t="n">
        <f aca="false">L16-L$15</f>
        <v>-0.0426230700997934</v>
      </c>
      <c r="AM15" s="7" t="n">
        <f aca="false">M16-M$15</f>
        <v>-0.0381358668688847</v>
      </c>
      <c r="AN15" s="7" t="n">
        <f aca="false">N16-N$15</f>
        <v>-0.0340686040198079</v>
      </c>
    </row>
    <row r="16" customFormat="false" ht="12.8" hidden="false" customHeight="false" outlineLevel="0" collapsed="false">
      <c r="A16" s="0" t="s">
        <v>116</v>
      </c>
      <c r="B16" s="1" t="s">
        <v>109</v>
      </c>
      <c r="C16" s="5" t="n">
        <f aca="false">(C9-$Y9)*t_R_K</f>
        <v>91.9200587037037</v>
      </c>
      <c r="D16" s="5" t="n">
        <f aca="false">(D9-$Y9)*t_R_K</f>
        <v>91.8293511111111</v>
      </c>
      <c r="E16" s="5" t="n">
        <f aca="false">(E9-$Y9)*t_R_K</f>
        <v>91.5572283333333</v>
      </c>
      <c r="F16" s="5" t="n">
        <f aca="false">(F9-$Y9)*t_R_K</f>
        <v>90.9542388888889</v>
      </c>
      <c r="G16" s="5" t="n">
        <f aca="false">(G9-$Y9)*t_R_K</f>
        <v>90.0332661111111</v>
      </c>
      <c r="H16" s="5" t="n">
        <f aca="false">(H9-$Y9)*t_R_K</f>
        <v>88.7976622222222</v>
      </c>
      <c r="I16" s="5" t="n">
        <f aca="false">(I9-$Y9)*t_R_K</f>
        <v>87.2487511111111</v>
      </c>
      <c r="J16" s="5" t="n">
        <f aca="false">(J9-$Y9)*t_R_K</f>
        <v>85.3871911111111</v>
      </c>
      <c r="K16" s="5" t="n">
        <f aca="false">(K9-$Y9)*t_R_K</f>
        <v>83.2133555555556</v>
      </c>
      <c r="L16" s="5" t="n">
        <f aca="false">(L9-$Y9)*t_R_K</f>
        <v>80.7274766666667</v>
      </c>
      <c r="M16" s="5" t="n">
        <f aca="false">(M9-$Y9)*t_R_K</f>
        <v>77.9297083333334</v>
      </c>
      <c r="N16" s="5" t="n">
        <f aca="false">(N9-$Y9)*t_R_K</f>
        <v>74.8201583333333</v>
      </c>
      <c r="O16" s="5" t="n">
        <f aca="false">(O9-$Y9)*t_R_K</f>
        <v>71.3989038888889</v>
      </c>
      <c r="P16" s="5" t="n">
        <f aca="false">(P9-$Y9)*t_R_K</f>
        <v>67.6660027777778</v>
      </c>
      <c r="Q16" s="5" t="n">
        <f aca="false">(Q9-$Y9)*t_R_K</f>
        <v>63.6214994444444</v>
      </c>
      <c r="R16" s="5" t="n">
        <f aca="false">(R9-$Y9)*t_R_K</f>
        <v>59.2654272222222</v>
      </c>
      <c r="S16" s="5" t="n">
        <f aca="false">(S9-$Y9)*t_R_K</f>
        <v>54.5978138888889</v>
      </c>
      <c r="T16" s="5" t="n">
        <f aca="false">(T9-$Y9)*t_R_K</f>
        <v>49.61868</v>
      </c>
      <c r="U16" s="5" t="n">
        <f aca="false">(U9-$Y9)*t_R_K</f>
        <v>44.3280433333333</v>
      </c>
      <c r="V16" s="5" t="n">
        <f aca="false">(V9-$Y9)*t_R_K</f>
        <v>38.7259177777778</v>
      </c>
      <c r="W16" s="5" t="n">
        <f aca="false">(W9-$Y9)*t_R_K</f>
        <v>32.85023</v>
      </c>
      <c r="X16" s="5" t="n">
        <f aca="false">(X9-$Y9)*t_R_K</f>
        <v>5.4798727777778</v>
      </c>
      <c r="Y16" s="5" t="n">
        <f aca="false">(Y9-$Y9)*t_R_K</f>
        <v>0</v>
      </c>
      <c r="Z16" s="5" t="n">
        <f aca="false">(Z9-$Y9)*t_R_K</f>
        <v>-3.93612024128111</v>
      </c>
      <c r="AB16" s="1" t="s">
        <v>112</v>
      </c>
      <c r="AC16" s="7" t="n">
        <f aca="false">C17-C$15</f>
        <v>-0.161508055335375</v>
      </c>
      <c r="AD16" s="7" t="n">
        <f aca="false">D17-D$15</f>
        <v>-0.174342994134548</v>
      </c>
      <c r="AE16" s="7" t="n">
        <f aca="false">E17-E$15</f>
        <v>-0.135007378960722</v>
      </c>
      <c r="AF16" s="7" t="n">
        <f aca="false">F17-F$15</f>
        <v>-0.115060593057578</v>
      </c>
      <c r="AG16" s="7" t="n">
        <f aca="false">G17-G$15</f>
        <v>-0.101624303091711</v>
      </c>
      <c r="AH16" s="7" t="n">
        <f aca="false">H17-H$15</f>
        <v>-0.0913507312853596</v>
      </c>
      <c r="AI16" s="7" t="n">
        <f aca="false">I17-I$15</f>
        <v>-0.0829176554163809</v>
      </c>
      <c r="AJ16" s="7" t="n">
        <f aca="false">J17-J$15</f>
        <v>-0.0756722977068876</v>
      </c>
      <c r="AK16" s="7" t="n">
        <f aca="false">K17-K$15</f>
        <v>-0.0692441026013881</v>
      </c>
      <c r="AL16" s="7" t="n">
        <f aca="false">L17-L$15</f>
        <v>-0.0634064034331345</v>
      </c>
      <c r="AM16" s="7" t="n">
        <f aca="false">M17-M$15</f>
        <v>-0.0580097557578085</v>
      </c>
      <c r="AN16" s="7" t="n">
        <f aca="false">N17-N$15</f>
        <v>-0.0529530484642606</v>
      </c>
    </row>
    <row r="17" customFormat="false" ht="12.8" hidden="false" customHeight="false" outlineLevel="0" collapsed="false">
      <c r="A17" s="0" t="s">
        <v>116</v>
      </c>
      <c r="B17" s="1" t="s">
        <v>110</v>
      </c>
      <c r="C17" s="5" t="n">
        <f aca="false">(C10-$Y10)*t_R_K</f>
        <v>91.8954542592593</v>
      </c>
      <c r="D17" s="5" t="n">
        <f aca="false">(D10-$Y10)*t_R_K</f>
        <v>91.8047788888889</v>
      </c>
      <c r="E17" s="5" t="n">
        <f aca="false">(E10-$Y10)*t_R_K</f>
        <v>91.5327527777778</v>
      </c>
      <c r="F17" s="5" t="n">
        <f aca="false">(F10-$Y10)*t_R_K</f>
        <v>90.9299761111111</v>
      </c>
      <c r="G17" s="5" t="n">
        <f aca="false">(G10-$Y10)*t_R_K</f>
        <v>90.0093272222222</v>
      </c>
      <c r="H17" s="5" t="n">
        <f aca="false">(H10-$Y10)*t_R_K</f>
        <v>88.7741538888889</v>
      </c>
      <c r="I17" s="5" t="n">
        <f aca="false">(I10-$Y10)*t_R_K</f>
        <v>87.2257783333333</v>
      </c>
      <c r="J17" s="5" t="n">
        <f aca="false">(J10-$Y10)*t_R_K</f>
        <v>85.3648533333334</v>
      </c>
      <c r="K17" s="5" t="n">
        <f aca="false">(K10-$Y10)*t_R_K</f>
        <v>83.1917494444444</v>
      </c>
      <c r="L17" s="5" t="n">
        <f aca="false">(L10-$Y10)*t_R_K</f>
        <v>80.7066933333334</v>
      </c>
      <c r="M17" s="5" t="n">
        <f aca="false">(M10-$Y10)*t_R_K</f>
        <v>77.9098344444445</v>
      </c>
      <c r="N17" s="5" t="n">
        <f aca="false">(N10-$Y10)*t_R_K</f>
        <v>74.8012738888889</v>
      </c>
      <c r="O17" s="5" t="n">
        <f aca="false">(O10-$Y10)*t_R_K</f>
        <v>71.3810833333333</v>
      </c>
      <c r="P17" s="5" t="n">
        <f aca="false">(P10-$Y10)*t_R_K</f>
        <v>67.6493133333334</v>
      </c>
      <c r="Q17" s="5" t="n">
        <f aca="false">(Q10-$Y10)*t_R_K</f>
        <v>63.6060011111111</v>
      </c>
      <c r="R17" s="5" t="n">
        <f aca="false">(R10-$Y10)*t_R_K</f>
        <v>59.2511727777778</v>
      </c>
      <c r="S17" s="5" t="n">
        <f aca="false">(S10-$Y10)*t_R_K</f>
        <v>54.5848472222223</v>
      </c>
      <c r="T17" s="5" t="n">
        <f aca="false">(T10-$Y10)*t_R_K</f>
        <v>49.6070388888889</v>
      </c>
      <c r="U17" s="5" t="n">
        <f aca="false">(U10-$Y10)*t_R_K</f>
        <v>44.3177555555556</v>
      </c>
      <c r="V17" s="5" t="n">
        <f aca="false">(V10-$Y10)*t_R_K</f>
        <v>38.7170044444444</v>
      </c>
      <c r="W17" s="5" t="n">
        <f aca="false">(W10-$Y10)*t_R_K</f>
        <v>32.8426933333333</v>
      </c>
      <c r="X17" s="5" t="n">
        <f aca="false">(X10-$Y10)*t_R_K</f>
        <v>5.47858944444442</v>
      </c>
      <c r="Y17" s="5" t="n">
        <f aca="false">(Y10-$Y10)*t_R_K</f>
        <v>0</v>
      </c>
      <c r="Z17" s="5" t="n">
        <f aca="false">(Z10-$Y10)*t_R_K</f>
        <v>-3.93496746350334</v>
      </c>
    </row>
    <row r="18" customFormat="false" ht="12.8" hidden="false" customHeight="false" outlineLevel="0" collapsed="false">
      <c r="A18" s="0" t="s">
        <v>116</v>
      </c>
      <c r="B18" s="1" t="s">
        <v>112</v>
      </c>
      <c r="C18" s="5" t="n">
        <f aca="false">(C11-$Y11)*t_R_K</f>
        <v>91.9253574074074</v>
      </c>
      <c r="D18" s="5" t="n">
        <f aca="false">(D11-$Y11)*t_R_K</f>
        <v>91.8346427777778</v>
      </c>
      <c r="E18" s="5" t="n">
        <f aca="false">(E11-$Y11)*t_R_K</f>
        <v>91.5624988888889</v>
      </c>
      <c r="F18" s="5" t="n">
        <f aca="false">(F11-$Y11)*t_R_K</f>
        <v>90.9594638888889</v>
      </c>
      <c r="G18" s="5" t="n">
        <f aca="false">(G11-$Y11)*t_R_K</f>
        <v>90.0384211111111</v>
      </c>
      <c r="H18" s="5" t="n">
        <f aca="false">(H11-$Y11)*t_R_K</f>
        <v>88.8027244444445</v>
      </c>
      <c r="I18" s="5" t="n">
        <f aca="false">(I11-$Y11)*t_R_K</f>
        <v>87.2536983333333</v>
      </c>
      <c r="J18" s="5" t="n">
        <f aca="false">(J11-$Y11)*t_R_K</f>
        <v>85.3920016666667</v>
      </c>
      <c r="K18" s="5" t="n">
        <f aca="false">(K11-$Y11)*t_R_K</f>
        <v>83.2180083333333</v>
      </c>
      <c r="L18" s="5" t="n">
        <f aca="false">(L11-$Y11)*t_R_K</f>
        <v>80.7319516666666</v>
      </c>
      <c r="M18" s="5" t="n">
        <f aca="false">(M11-$Y11)*t_R_K</f>
        <v>77.9339877777778</v>
      </c>
      <c r="N18" s="5" t="n">
        <f aca="false">(N11-$Y11)*t_R_K</f>
        <v>74.8242244444445</v>
      </c>
      <c r="O18" s="5" t="n">
        <f aca="false">(O11-$Y11)*t_R_K</f>
        <v>71.4027411111111</v>
      </c>
      <c r="P18" s="5" t="n">
        <f aca="false">(P11-$Y11)*t_R_K</f>
        <v>67.6695966666667</v>
      </c>
      <c r="Q18" s="5" t="n">
        <f aca="false">(Q11-$Y11)*t_R_K</f>
        <v>63.6248366666667</v>
      </c>
      <c r="R18" s="5" t="n">
        <f aca="false">(R11-$Y11)*t_R_K</f>
        <v>59.2684972222223</v>
      </c>
      <c r="S18" s="5" t="n">
        <f aca="false">(S11-$Y11)*t_R_K</f>
        <v>54.6006061111112</v>
      </c>
      <c r="T18" s="5" t="n">
        <f aca="false">(T11-$Y11)*t_R_K</f>
        <v>49.6211866666667</v>
      </c>
      <c r="U18" s="5" t="n">
        <f aca="false">(U11-$Y11)*t_R_K</f>
        <v>44.3302588888889</v>
      </c>
      <c r="V18" s="5" t="n">
        <f aca="false">(V11-$Y11)*t_R_K</f>
        <v>38.7278372222222</v>
      </c>
      <c r="W18" s="5" t="n">
        <f aca="false">(W11-$Y11)*t_R_K</f>
        <v>32.8518533333333</v>
      </c>
      <c r="X18" s="5" t="n">
        <f aca="false">(X11-$Y11)*t_R_K</f>
        <v>5.48014888888891</v>
      </c>
      <c r="Y18" s="5" t="n">
        <f aca="false">(Y11-$Y11)*t_R_K</f>
        <v>0</v>
      </c>
      <c r="Z18" s="5" t="n">
        <f aca="false">(Z12-$Y12)*t_R_K</f>
        <v>-3.93637079683667</v>
      </c>
      <c r="AB18" s="1" t="s">
        <v>110</v>
      </c>
      <c r="AC18" s="7" t="n">
        <f aca="false">C19-C$15</f>
        <v>-0.187490647927916</v>
      </c>
      <c r="AD18" s="7" t="n">
        <f aca="false">D19-D$15</f>
        <v>-0.193170771912278</v>
      </c>
      <c r="AE18" s="7" t="n">
        <f aca="false">E19-E$15</f>
        <v>-0.132370712294076</v>
      </c>
      <c r="AF18" s="7" t="n">
        <f aca="false">F19-F$15</f>
        <v>-0.104674481946418</v>
      </c>
      <c r="AG18" s="7" t="n">
        <f aca="false">G19-G$15</f>
        <v>-0.086835414202838</v>
      </c>
      <c r="AH18" s="7" t="n">
        <f aca="false">H19-H$15</f>
        <v>-0.0736407312853515</v>
      </c>
      <c r="AI18" s="7" t="n">
        <f aca="false">I19-I$15</f>
        <v>-0.0631593220830382</v>
      </c>
      <c r="AJ18" s="7" t="n">
        <f aca="false">J19-J$15</f>
        <v>-0.0544628532624216</v>
      </c>
      <c r="AK18" s="7" t="n">
        <f aca="false">K19-K$15</f>
        <v>-0.0470329914902692</v>
      </c>
      <c r="AL18" s="7" t="n">
        <f aca="false">L19-L$15</f>
        <v>-0.0405480700997885</v>
      </c>
      <c r="AM18" s="7" t="n">
        <f aca="false">M19-M$15</f>
        <v>-0.0347969779800223</v>
      </c>
      <c r="AN18" s="7" t="n">
        <f aca="false">N19-N$15</f>
        <v>-0.0296324929087177</v>
      </c>
    </row>
    <row r="19" customFormat="false" ht="12.8" hidden="false" customHeight="false" outlineLevel="0" collapsed="false">
      <c r="A19" s="0" t="s">
        <v>116</v>
      </c>
      <c r="B19" s="1" t="s">
        <v>113</v>
      </c>
      <c r="C19" s="5" t="n">
        <f aca="false">(C12-$Y12)*t_R_K</f>
        <v>91.8694716666667</v>
      </c>
      <c r="D19" s="5" t="n">
        <f aca="false">(D12-$Y12)*t_R_K</f>
        <v>91.7859511111112</v>
      </c>
      <c r="E19" s="5" t="n">
        <f aca="false">(E12-$Y12)*t_R_K</f>
        <v>91.5353894444444</v>
      </c>
      <c r="F19" s="5" t="n">
        <f aca="false">(F12-$Y12)*t_R_K</f>
        <v>90.9403622222223</v>
      </c>
      <c r="G19" s="5" t="n">
        <f aca="false">(G12-$Y12)*t_R_K</f>
        <v>90.0241161111111</v>
      </c>
      <c r="H19" s="5" t="n">
        <f aca="false">(H12-$Y12)*t_R_K</f>
        <v>88.7918638888889</v>
      </c>
      <c r="I19" s="5" t="n">
        <f aca="false">(I12-$Y12)*t_R_K</f>
        <v>87.2455366666667</v>
      </c>
      <c r="J19" s="5" t="n">
        <f aca="false">(J12-$Y12)*t_R_K</f>
        <v>85.3860627777778</v>
      </c>
      <c r="K19" s="5" t="n">
        <f aca="false">(K12-$Y12)*t_R_K</f>
        <v>83.2139605555556</v>
      </c>
      <c r="L19" s="5" t="n">
        <f aca="false">(L12-$Y12)*t_R_K</f>
        <v>80.7295516666667</v>
      </c>
      <c r="M19" s="5" t="n">
        <f aca="false">(M12-$Y12)*t_R_K</f>
        <v>77.9330472222222</v>
      </c>
      <c r="N19" s="5" t="n">
        <f aca="false">(N12-$Y12)*t_R_K</f>
        <v>74.8245944444444</v>
      </c>
      <c r="O19" s="5" t="n">
        <f aca="false">(O12-$Y12)*t_R_K</f>
        <v>71.4043</v>
      </c>
      <c r="P19" s="5" t="n">
        <f aca="false">(P12-$Y12)*t_R_K</f>
        <v>67.6722444444445</v>
      </c>
      <c r="Q19" s="5" t="n">
        <f aca="false">(Q12-$Y12)*t_R_K</f>
        <v>63.6284883333334</v>
      </c>
      <c r="R19" s="5" t="n">
        <f aca="false">(R12-$Y12)*t_R_K</f>
        <v>59.27308</v>
      </c>
      <c r="S19" s="5" t="n">
        <f aca="false">(S12-$Y12)*t_R_K</f>
        <v>54.6060577777778</v>
      </c>
      <c r="T19" s="5" t="n">
        <f aca="false">(T12-$Y12)*t_R_K</f>
        <v>49.6274527777778</v>
      </c>
      <c r="U19" s="5" t="n">
        <f aca="false">(U12-$Y12)*t_R_K</f>
        <v>44.3372905555556</v>
      </c>
      <c r="V19" s="5" t="n">
        <f aca="false">(V12-$Y12)*t_R_K</f>
        <v>38.7355922222222</v>
      </c>
      <c r="W19" s="5" t="n">
        <f aca="false">(W12-$Y12)*t_R_K</f>
        <v>32.8593144444445</v>
      </c>
      <c r="X19" s="5" t="n">
        <f aca="false">(X12-$Y12)*t_R_K</f>
        <v>5.48761000000001</v>
      </c>
      <c r="Y19" s="5" t="n">
        <f aca="false">(Y12-$Y12)*t_R_K</f>
        <v>0</v>
      </c>
      <c r="Z19" s="5" t="n">
        <f aca="false">(Z12-$Y12)*t_R_K</f>
        <v>-3.93637079683667</v>
      </c>
    </row>
    <row r="20" customFormat="false" ht="12.8" hidden="false" customHeight="false" outlineLevel="0" collapsed="false">
      <c r="B20" s="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customFormat="false" ht="12.8" hidden="false" customHeight="false" outlineLevel="0" collapsed="false">
      <c r="C21" s="4" t="s">
        <v>119</v>
      </c>
    </row>
    <row r="22" customFormat="false" ht="12.8" hidden="false" customHeight="false" outlineLevel="0" collapsed="false">
      <c r="B22" s="1" t="s">
        <v>115</v>
      </c>
      <c r="C22" s="8" t="n">
        <f aca="false">(C8)*t_ft_m*100</f>
        <v>0</v>
      </c>
      <c r="D22" s="8" t="n">
        <f aca="false">(D8)*t_ft_m*100</f>
        <v>0.014852868593539</v>
      </c>
      <c r="E22" s="8" t="n">
        <f aca="false">(E8)*t_ft_m*100</f>
        <v>0.0332120238360248</v>
      </c>
      <c r="F22" s="8" t="n">
        <f aca="false">(F8)*t_ft_m*100</f>
        <v>0.0535527793017334</v>
      </c>
      <c r="G22" s="8" t="n">
        <f aca="false">(G8)*t_ft_m*100</f>
        <v>0.0742643429676947</v>
      </c>
      <c r="H22" s="8" t="n">
        <f aca="false">(H8)*t_ft_m*100</f>
        <v>0.0951047628866946</v>
      </c>
      <c r="I22" s="8" t="n">
        <f aca="false">(I8)*t_ft_m*100</f>
        <v>0.116004612118972</v>
      </c>
      <c r="J22" s="8" t="n">
        <f aca="false">(J8)*t_ft_m*100</f>
        <v>0.136936682316462</v>
      </c>
      <c r="K22" s="8" t="n">
        <f aca="false">(K8)*t_ft_m*100</f>
        <v>0.157888158886706</v>
      </c>
      <c r="L22" s="8" t="n">
        <f aca="false">(L8)*t_ft_m*100</f>
        <v>0.178852221935473</v>
      </c>
      <c r="M22" s="8" t="n">
        <f aca="false">(M8)*t_ft_m*100</f>
        <v>0.199824910078062</v>
      </c>
      <c r="N22" s="8" t="n">
        <f aca="false">(N8)*t_ft_m*100</f>
        <v>0.220803765606438</v>
      </c>
      <c r="O22" s="8" t="n">
        <f aca="false">(O8)*t_ft_m*100</f>
        <v>0.241787183171665</v>
      </c>
      <c r="P22" s="8"/>
    </row>
    <row r="23" customFormat="false" ht="12.8" hidden="false" customHeight="false" outlineLevel="0" collapsed="false">
      <c r="A23" s="0" t="s">
        <v>120</v>
      </c>
      <c r="B23" s="1" t="s">
        <v>117</v>
      </c>
      <c r="C23" s="5" t="n">
        <f aca="false">C15+$Z23-$Z15</f>
        <v>386.952577970341</v>
      </c>
      <c r="D23" s="5" t="n">
        <f aca="false">D15+$Z23-$Z15</f>
        <v>386.87473753877</v>
      </c>
      <c r="E23" s="5" t="n">
        <f aca="false">E15+$Z23-$Z15</f>
        <v>386.563375812485</v>
      </c>
      <c r="F23" s="5" t="n">
        <f aca="false">F15+$Z23-$Z15</f>
        <v>385.940652359915</v>
      </c>
      <c r="G23" s="5" t="n">
        <f aca="false">G15+$Z23-$Z15</f>
        <v>385.00656718106</v>
      </c>
      <c r="H23" s="5" t="n">
        <f aca="false">H15+$Z23-$Z15</f>
        <v>383.761120275921</v>
      </c>
      <c r="I23" s="5" t="n">
        <f aca="false">I15+$Z23-$Z15</f>
        <v>382.204311644496</v>
      </c>
      <c r="J23" s="5" t="n">
        <f aca="false">J15+$Z23-$Z15</f>
        <v>380.336141286787</v>
      </c>
      <c r="K23" s="5" t="n">
        <f aca="false">K15+$Z23-$Z15</f>
        <v>378.156609202792</v>
      </c>
      <c r="L23" s="5" t="n">
        <f aca="false">L15+$Z23-$Z15</f>
        <v>375.665715392513</v>
      </c>
      <c r="M23" s="5" t="n">
        <f aca="false">M15+$Z23-$Z15</f>
        <v>372.863459855949</v>
      </c>
      <c r="N23" s="5" t="n">
        <f aca="false">N15+$Z23-$Z15</f>
        <v>369.7498425931</v>
      </c>
      <c r="O23" s="5" t="n">
        <f aca="false">O15+$Z23-$Z15</f>
        <v>366.324863603966</v>
      </c>
      <c r="P23" s="5" t="n">
        <f aca="false">P15+$Z23-$Z15</f>
        <v>362.588522888547</v>
      </c>
      <c r="Q23" s="5" t="n">
        <f aca="false">Q15+$Z23-$Z15</f>
        <v>358.540820446843</v>
      </c>
      <c r="R23" s="5" t="n">
        <f aca="false">R15+$Z23-$Z15</f>
        <v>354.181756278854</v>
      </c>
      <c r="S23" s="5" t="n">
        <f aca="false">S15+$Z23-$Z15</f>
        <v>349.51133038458</v>
      </c>
      <c r="T23" s="5" t="n">
        <f aca="false">T15+$Z23-$Z15</f>
        <v>344.529542764022</v>
      </c>
      <c r="U23" s="5" t="n">
        <f aca="false">U15+$Z23-$Z15</f>
        <v>339.236393417178</v>
      </c>
      <c r="V23" s="5" t="n">
        <f aca="false">V15+$Z23-$Z15</f>
        <v>333.631882344049</v>
      </c>
      <c r="W23" s="5" t="n">
        <f aca="false">W15+$Z23-$Z15</f>
        <v>327.754929760422</v>
      </c>
      <c r="X23" s="5" t="n">
        <f aca="false">X15+$Z23-$Z15</f>
        <v>300.383225357136</v>
      </c>
      <c r="Y23" s="5" t="n">
        <f aca="false">Y15+$Z23-$Z15</f>
        <v>294.895615655746</v>
      </c>
      <c r="Z23" s="5" t="n">
        <f aca="false">5/9*(Z8-32)</f>
        <v>290.934551980941</v>
      </c>
      <c r="AB23" s="5"/>
      <c r="AC23" s="3" t="s">
        <v>121</v>
      </c>
      <c r="AD23" s="8"/>
      <c r="AE23" s="1"/>
      <c r="AF23" s="1"/>
      <c r="AG23" s="1"/>
      <c r="AH23" s="1"/>
      <c r="AI23" s="1"/>
      <c r="AJ23" s="1"/>
      <c r="AK23" s="1"/>
    </row>
    <row r="24" customFormat="false" ht="12.8" hidden="false" customHeight="false" outlineLevel="0" collapsed="false">
      <c r="A24" s="0" t="s">
        <v>120</v>
      </c>
      <c r="B24" s="1" t="s">
        <v>109</v>
      </c>
      <c r="C24" s="5" t="n">
        <f aca="false">C16+$Z24-$Z16</f>
        <v>386.790730925926</v>
      </c>
      <c r="D24" s="5" t="n">
        <f aca="false">D16+$Z24-$Z16</f>
        <v>386.700023333333</v>
      </c>
      <c r="E24" s="5" t="n">
        <f aca="false">E16+$Z24-$Z16</f>
        <v>386.427900555556</v>
      </c>
      <c r="F24" s="5" t="n">
        <f aca="false">F16+$Z24-$Z16</f>
        <v>385.824911111111</v>
      </c>
      <c r="G24" s="5" t="n">
        <f aca="false">G16+$Z24-$Z16</f>
        <v>384.903938333333</v>
      </c>
      <c r="H24" s="5" t="n">
        <f aca="false">H16+$Z24-$Z16</f>
        <v>383.668334444444</v>
      </c>
      <c r="I24" s="5" t="n">
        <f aca="false">I16+$Z24-$Z16</f>
        <v>382.119423333333</v>
      </c>
      <c r="J24" s="5" t="n">
        <f aca="false">J16+$Z24-$Z16</f>
        <v>380.257863333333</v>
      </c>
      <c r="K24" s="5" t="n">
        <f aca="false">K16+$Z24-$Z16</f>
        <v>378.084027777778</v>
      </c>
      <c r="L24" s="5" t="n">
        <f aca="false">L16+$Z24-$Z16</f>
        <v>375.598148888889</v>
      </c>
      <c r="M24" s="5" t="n">
        <f aca="false">M16+$Z24-$Z16</f>
        <v>372.800380555556</v>
      </c>
      <c r="N24" s="5" t="n">
        <f aca="false">N16+$Z24-$Z16</f>
        <v>369.690830555556</v>
      </c>
      <c r="O24" s="5" t="n">
        <f aca="false">O16+$Z24-$Z16</f>
        <v>366.269576111111</v>
      </c>
      <c r="P24" s="5" t="n">
        <f aca="false">P16+$Z24-$Z16</f>
        <v>362.536675</v>
      </c>
      <c r="Q24" s="5" t="n">
        <f aca="false">Q16+$Z24-$Z16</f>
        <v>358.492171666667</v>
      </c>
      <c r="R24" s="5" t="n">
        <f aca="false">R16+$Z24-$Z16</f>
        <v>354.136099444444</v>
      </c>
      <c r="S24" s="5" t="n">
        <f aca="false">S16+$Z24-$Z16</f>
        <v>349.468486111111</v>
      </c>
      <c r="T24" s="5" t="n">
        <f aca="false">T16+$Z24-$Z16</f>
        <v>344.489352222222</v>
      </c>
      <c r="U24" s="5" t="n">
        <f aca="false">U16+$Z24-$Z16</f>
        <v>339.198715555556</v>
      </c>
      <c r="V24" s="5" t="n">
        <f aca="false">V16+$Z24-$Z16</f>
        <v>333.59659</v>
      </c>
      <c r="W24" s="5" t="n">
        <f aca="false">W16+$Z24-$Z16</f>
        <v>327.720902222222</v>
      </c>
      <c r="X24" s="5" t="n">
        <f aca="false">X16+$Z24-$Z16</f>
        <v>300.350545</v>
      </c>
      <c r="Y24" s="5" t="n">
        <f aca="false">Y16+$Z24-$Z16</f>
        <v>294.870672222222</v>
      </c>
      <c r="Z24" s="5" t="n">
        <f aca="false">5/9*(Z9-32)</f>
        <v>290.934551980941</v>
      </c>
      <c r="AB24" s="1" t="s">
        <v>109</v>
      </c>
      <c r="AC24" s="21" t="n">
        <f aca="false">(C24-C$23)/C$23</f>
        <v>-0.000418260669728747</v>
      </c>
      <c r="AD24" s="21" t="n">
        <f aca="false">(D24-D$23)/D$23</f>
        <v>-0.000451604068407228</v>
      </c>
      <c r="AE24" s="21" t="n">
        <f aca="false">(E24-E$23)/E$23</f>
        <v>-0.00035046066287215</v>
      </c>
      <c r="AF24" s="21" t="n">
        <f aca="false">(F24-F$23)/F$23</f>
        <v>-0.000299893903625532</v>
      </c>
      <c r="AG24" s="21" t="n">
        <f aca="false">(G24-G$23)/G$23</f>
        <v>-0.000266563888710939</v>
      </c>
      <c r="AH24" s="21" t="n">
        <f aca="false">(H24-H$23)/H$23</f>
        <v>-0.000241780176713933</v>
      </c>
      <c r="AI24" s="21" t="n">
        <f aca="false">(I24-I$23)/I$23</f>
        <v>-0.000222101919252402</v>
      </c>
      <c r="AJ24" s="21" t="n">
        <f aca="false">(J24-J$23)/J$23</f>
        <v>-0.000205812556199593</v>
      </c>
      <c r="AK24" s="21" t="n">
        <f aca="false">(K24-K$23)/K$23</f>
        <v>-0.000191934831358521</v>
      </c>
      <c r="AL24" s="21" t="n">
        <f aca="false">(L24-L$23)/L$23</f>
        <v>-0.000179858051601533</v>
      </c>
      <c r="AM24" s="21" t="n">
        <f aca="false">(M24-M$23)/M$23</f>
        <v>-0.000169175334095253</v>
      </c>
      <c r="AN24" s="21" t="n">
        <f aca="false">(N24-N$23)/N$23</f>
        <v>-0.000159599899029396</v>
      </c>
      <c r="AO24" s="21" t="n">
        <f aca="false">(O24-O$23)/O$23</f>
        <v>-0.000150924762000646</v>
      </c>
    </row>
    <row r="25" customFormat="false" ht="12.8" hidden="false" customHeight="false" outlineLevel="0" collapsed="false">
      <c r="A25" s="0" t="s">
        <v>120</v>
      </c>
      <c r="B25" s="1" t="s">
        <v>110</v>
      </c>
      <c r="C25" s="5" t="n">
        <f aca="false">C17+$Z25-$Z17</f>
        <v>386.764973703704</v>
      </c>
      <c r="D25" s="5" t="n">
        <f aca="false">D17+$Z25-$Z17</f>
        <v>386.674298333333</v>
      </c>
      <c r="E25" s="5" t="n">
        <f aca="false">E17+$Z25-$Z17</f>
        <v>386.402272222222</v>
      </c>
      <c r="F25" s="5" t="n">
        <f aca="false">F17+$Z25-$Z17</f>
        <v>385.799495555556</v>
      </c>
      <c r="G25" s="5" t="n">
        <f aca="false">G17+$Z25-$Z17</f>
        <v>384.878846666667</v>
      </c>
      <c r="H25" s="5" t="n">
        <f aca="false">H17+$Z25-$Z17</f>
        <v>383.643673333333</v>
      </c>
      <c r="I25" s="5" t="n">
        <f aca="false">I17+$Z25-$Z17</f>
        <v>382.095297777778</v>
      </c>
      <c r="J25" s="5" t="n">
        <f aca="false">J17+$Z25-$Z17</f>
        <v>380.234372777778</v>
      </c>
      <c r="K25" s="5" t="n">
        <f aca="false">K17+$Z25-$Z17</f>
        <v>378.061268888889</v>
      </c>
      <c r="L25" s="5" t="n">
        <f aca="false">L17+$Z25-$Z17</f>
        <v>375.576212777778</v>
      </c>
      <c r="M25" s="5" t="n">
        <f aca="false">M17+$Z25-$Z17</f>
        <v>372.779353888889</v>
      </c>
      <c r="N25" s="5" t="n">
        <f aca="false">N17+$Z25-$Z17</f>
        <v>369.670793333333</v>
      </c>
      <c r="O25" s="5" t="n">
        <f aca="false">O17+$Z25-$Z17</f>
        <v>366.250602777778</v>
      </c>
      <c r="P25" s="5" t="n">
        <f aca="false">P17+$Z25-$Z17</f>
        <v>362.518832777778</v>
      </c>
      <c r="Q25" s="5" t="n">
        <f aca="false">Q17+$Z25-$Z17</f>
        <v>358.475520555556</v>
      </c>
      <c r="R25" s="5" t="n">
        <f aca="false">R17+$Z25-$Z17</f>
        <v>354.120692222222</v>
      </c>
      <c r="S25" s="5" t="n">
        <f aca="false">S17+$Z25-$Z17</f>
        <v>349.454366666667</v>
      </c>
      <c r="T25" s="5" t="n">
        <f aca="false">T17+$Z25-$Z17</f>
        <v>344.476558333333</v>
      </c>
      <c r="U25" s="5" t="n">
        <f aca="false">U17+$Z25-$Z17</f>
        <v>339.187275</v>
      </c>
      <c r="V25" s="5" t="n">
        <f aca="false">V17+$Z25-$Z17</f>
        <v>333.586523888889</v>
      </c>
      <c r="W25" s="5" t="n">
        <f aca="false">W17+$Z25-$Z17</f>
        <v>327.712212777778</v>
      </c>
      <c r="X25" s="5" t="n">
        <f aca="false">X17+$Z25-$Z17</f>
        <v>300.348108888889</v>
      </c>
      <c r="Y25" s="5" t="n">
        <f aca="false">Y17+$Z25-$Z17</f>
        <v>294.869519444444</v>
      </c>
      <c r="Z25" s="5" t="n">
        <f aca="false">5/9*(Z10-32)</f>
        <v>290.934551980941</v>
      </c>
      <c r="AB25" s="1" t="s">
        <v>110</v>
      </c>
      <c r="AC25" s="21" t="n">
        <f aca="false">(C25-C$23)/C$23</f>
        <v>-0.00048482495612617</v>
      </c>
      <c r="AD25" s="21" t="n">
        <f aca="false">(D25-D$23)/D$23</f>
        <v>-0.000518098459236882</v>
      </c>
      <c r="AE25" s="21" t="n">
        <f aca="false">(E25-E$23)/E$23</f>
        <v>-0.000416758545540178</v>
      </c>
      <c r="AF25" s="21" t="n">
        <f aca="false">(F25-F$23)/F$23</f>
        <v>-0.000365747436805242</v>
      </c>
      <c r="AG25" s="21" t="n">
        <f aca="false">(G25-G$23)/G$23</f>
        <v>-0.000331735937204586</v>
      </c>
      <c r="AH25" s="21" t="n">
        <f aca="false">(H25-H$23)/H$23</f>
        <v>-0.000306041796268822</v>
      </c>
      <c r="AI25" s="21" t="n">
        <f aca="false">(I25-I$23)/I$23</f>
        <v>-0.000285224063143964</v>
      </c>
      <c r="AJ25" s="21" t="n">
        <f aca="false">(J25-J$23)/J$23</f>
        <v>-0.000267575173541398</v>
      </c>
      <c r="AK25" s="21" t="n">
        <f aca="false">(K25-K$23)/K$23</f>
        <v>-0.000252118597383118</v>
      </c>
      <c r="AL25" s="21" t="n">
        <f aca="false">(L25-L$23)/L$23</f>
        <v>-0.000238250686894885</v>
      </c>
      <c r="AM25" s="21" t="n">
        <f aca="false">(M25-M$23)/M$23</f>
        <v>-0.000225567737563406</v>
      </c>
      <c r="AN25" s="21" t="n">
        <f aca="false">(N25-N$23)/N$23</f>
        <v>-0.000213791192477202</v>
      </c>
      <c r="AO25" s="21" t="n">
        <f aca="false">(O25-O$23)/O$23</f>
        <v>-0.000202718498158064</v>
      </c>
    </row>
    <row r="26" customFormat="false" ht="12.8" hidden="false" customHeight="false" outlineLevel="0" collapsed="false">
      <c r="A26" s="0" t="s">
        <v>120</v>
      </c>
      <c r="B26" s="1" t="s">
        <v>112</v>
      </c>
      <c r="C26" s="5" t="n">
        <f aca="false">C17+$Z26-$Z17</f>
        <v>386.764973703704</v>
      </c>
      <c r="D26" s="5" t="n">
        <f aca="false">D17+$Z26-$Z17</f>
        <v>386.674298333333</v>
      </c>
      <c r="E26" s="5" t="n">
        <f aca="false">E17+$Z26-$Z17</f>
        <v>386.402272222222</v>
      </c>
      <c r="F26" s="5" t="n">
        <f aca="false">F17+$Z26-$Z17</f>
        <v>385.799495555556</v>
      </c>
      <c r="G26" s="5" t="n">
        <f aca="false">G17+$Z26-$Z17</f>
        <v>384.878846666667</v>
      </c>
      <c r="H26" s="5" t="n">
        <f aca="false">H17+$Z26-$Z17</f>
        <v>383.643673333333</v>
      </c>
      <c r="I26" s="5" t="n">
        <f aca="false">I17+$Z26-$Z17</f>
        <v>382.095297777778</v>
      </c>
      <c r="J26" s="5" t="n">
        <f aca="false">J17+$Z26-$Z17</f>
        <v>380.234372777778</v>
      </c>
      <c r="K26" s="5" t="n">
        <f aca="false">K17+$Z26-$Z17</f>
        <v>378.061268888889</v>
      </c>
      <c r="L26" s="5" t="n">
        <f aca="false">L17+$Z26-$Z17</f>
        <v>375.576212777778</v>
      </c>
      <c r="M26" s="5" t="n">
        <f aca="false">M17+$Z26-$Z17</f>
        <v>372.779353888889</v>
      </c>
      <c r="N26" s="5" t="n">
        <f aca="false">N17+$Z26-$Z17</f>
        <v>369.670793333333</v>
      </c>
      <c r="O26" s="5" t="n">
        <f aca="false">O17+$Z26-$Z17</f>
        <v>366.250602777778</v>
      </c>
      <c r="P26" s="5" t="n">
        <f aca="false">P17+$Z26-$Z17</f>
        <v>362.518832777778</v>
      </c>
      <c r="Q26" s="5" t="n">
        <f aca="false">Q17+$Z26-$Z17</f>
        <v>358.475520555556</v>
      </c>
      <c r="R26" s="5" t="n">
        <f aca="false">R17+$Z26-$Z17</f>
        <v>354.120692222222</v>
      </c>
      <c r="S26" s="5" t="n">
        <f aca="false">S17+$Z26-$Z17</f>
        <v>349.454366666667</v>
      </c>
      <c r="T26" s="5" t="n">
        <f aca="false">T17+$Z26-$Z17</f>
        <v>344.476558333333</v>
      </c>
      <c r="U26" s="5" t="n">
        <f aca="false">U17+$Z26-$Z17</f>
        <v>339.187275</v>
      </c>
      <c r="V26" s="5" t="n">
        <f aca="false">V17+$Z26-$Z17</f>
        <v>333.586523888889</v>
      </c>
      <c r="W26" s="5" t="n">
        <f aca="false">W17+$Z26-$Z17</f>
        <v>327.712212777778</v>
      </c>
      <c r="X26" s="5" t="n">
        <f aca="false">X17+$Z26-$Z17</f>
        <v>300.348108888889</v>
      </c>
      <c r="Y26" s="5" t="n">
        <f aca="false">Y17+$Z26-$Z17</f>
        <v>294.869519444444</v>
      </c>
      <c r="Z26" s="5" t="n">
        <f aca="false">5/9*(Z11-32)</f>
        <v>290.934551980941</v>
      </c>
      <c r="AB26" s="1" t="s">
        <v>112</v>
      </c>
      <c r="AC26" s="21" t="n">
        <f aca="false">(C26-C$23)/C$23</f>
        <v>-0.00048482495612617</v>
      </c>
      <c r="AD26" s="21" t="n">
        <f aca="false">(D26-D$23)/D$23</f>
        <v>-0.000518098459236882</v>
      </c>
      <c r="AE26" s="21" t="n">
        <f aca="false">(E26-E$23)/E$23</f>
        <v>-0.000416758545540178</v>
      </c>
      <c r="AF26" s="21" t="n">
        <f aca="false">(F26-F$23)/F$23</f>
        <v>-0.000365747436805242</v>
      </c>
      <c r="AG26" s="21" t="n">
        <f aca="false">(G26-G$23)/G$23</f>
        <v>-0.000331735937204586</v>
      </c>
      <c r="AH26" s="21" t="n">
        <f aca="false">(H26-H$23)/H$23</f>
        <v>-0.000306041796268822</v>
      </c>
      <c r="AI26" s="21" t="n">
        <f aca="false">(I26-I$23)/I$23</f>
        <v>-0.000285224063143964</v>
      </c>
      <c r="AJ26" s="21" t="n">
        <f aca="false">(J26-J$23)/J$23</f>
        <v>-0.000267575173541398</v>
      </c>
      <c r="AK26" s="21" t="n">
        <f aca="false">(K26-K$23)/K$23</f>
        <v>-0.000252118597383118</v>
      </c>
      <c r="AL26" s="21" t="n">
        <f aca="false">(L26-L$23)/L$23</f>
        <v>-0.000238250686894885</v>
      </c>
      <c r="AM26" s="21" t="n">
        <f aca="false">(M26-M$23)/M$23</f>
        <v>-0.000225567737563406</v>
      </c>
      <c r="AN26" s="21" t="n">
        <f aca="false">(N26-N$23)/N$23</f>
        <v>-0.000213791192477202</v>
      </c>
      <c r="AO26" s="21" t="n">
        <f aca="false">(O26-O$23)/O$23</f>
        <v>-0.000202718498158064</v>
      </c>
    </row>
    <row r="27" customFormat="false" ht="12.8" hidden="false" customHeight="false" outlineLevel="0" collapsed="false">
      <c r="A27" s="0" t="s">
        <v>120</v>
      </c>
      <c r="B27" s="1" t="s">
        <v>113</v>
      </c>
    </row>
    <row r="28" customFormat="false" ht="12.8" hidden="false" customHeight="false" outlineLevel="0" collapsed="false">
      <c r="Q28" s="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30" customFormat="false" ht="12.8" hidden="false" customHeight="false" outlineLevel="0" collapsed="false">
      <c r="A30" s="0" t="n">
        <v>0</v>
      </c>
      <c r="B30" s="10" t="n">
        <v>0.000487298838370701</v>
      </c>
      <c r="C30" s="10" t="n">
        <v>0.00108963332795357</v>
      </c>
      <c r="D30" s="10" t="n">
        <v>0.0017569809482196</v>
      </c>
      <c r="E30" s="10" t="n">
        <v>0.0024364941918535</v>
      </c>
      <c r="F30" s="10" t="n">
        <v>0.00312023500284431</v>
      </c>
      <c r="G30" s="10" t="n">
        <v>0.00380592559445446</v>
      </c>
      <c r="H30" s="10" t="n">
        <v>0.00449267330434586</v>
      </c>
      <c r="I30" s="10" t="n">
        <v>0.00518005770625677</v>
      </c>
      <c r="J30" s="10" t="n">
        <v>0.00586785505037642</v>
      </c>
      <c r="K30" s="10" t="n">
        <v>0.00655593537001515</v>
      </c>
      <c r="L30" s="10" t="n">
        <v>0.00724421803170729</v>
      </c>
      <c r="M30" s="10" t="n">
        <v>0.00793265036652443</v>
      </c>
      <c r="N30" s="10" t="n">
        <v>0.00862119651879233</v>
      </c>
      <c r="O30" s="10" t="n">
        <v>0.00930983123505811</v>
      </c>
      <c r="P30" s="10" t="n">
        <v>0.00999853621618685</v>
      </c>
      <c r="Q30" s="10" t="n">
        <v>0.010687297878278</v>
      </c>
      <c r="R30" s="10" t="n">
        <v>0.0113761059261595</v>
      </c>
      <c r="S30" s="10" t="n">
        <v>0.01206495241511</v>
      </c>
      <c r="T30" s="10" t="n">
        <v>0.0127538311164153</v>
      </c>
      <c r="U30" s="10" t="n">
        <v>0.0134383202099738</v>
      </c>
      <c r="V30" s="10" t="n">
        <v>0.0137139107611549</v>
      </c>
      <c r="W30" s="10" t="n">
        <v>0.0155839895013123</v>
      </c>
    </row>
    <row r="31" customFormat="false" ht="12.8" hidden="false" customHeight="false" outlineLevel="0" collapsed="false">
      <c r="C31" s="1"/>
      <c r="D31" s="1" t="s">
        <v>122</v>
      </c>
    </row>
    <row r="32" customFormat="false" ht="12.8" hidden="false" customHeight="false" outlineLevel="0" collapsed="false">
      <c r="A32" s="20" t="n">
        <v>728.060042</v>
      </c>
      <c r="B32" s="5" t="n">
        <v>727.570221</v>
      </c>
      <c r="C32" s="5" t="n">
        <v>726.48484</v>
      </c>
      <c r="D32" s="5" t="n">
        <v>724.827089</v>
      </c>
      <c r="E32" s="5" t="n">
        <v>722.603002</v>
      </c>
      <c r="F32" s="5" t="n">
        <v>719.814962</v>
      </c>
      <c r="G32" s="5" t="n">
        <v>716.464154</v>
      </c>
      <c r="H32" s="5" t="n">
        <v>712.55125</v>
      </c>
      <c r="I32" s="5" t="n">
        <v>708.076668</v>
      </c>
      <c r="J32" s="5" t="n">
        <v>703.040685</v>
      </c>
      <c r="K32" s="5" t="n">
        <v>697.443495</v>
      </c>
      <c r="L32" s="5" t="n">
        <v>691.285237</v>
      </c>
      <c r="M32" s="5" t="n">
        <v>684.566015</v>
      </c>
      <c r="N32" s="5" t="n">
        <v>677.285909</v>
      </c>
      <c r="O32" s="5" t="n">
        <v>669.444979</v>
      </c>
      <c r="P32" s="5" t="n">
        <v>661.043275</v>
      </c>
      <c r="Q32" s="0" t="n">
        <v>652.080834</v>
      </c>
      <c r="R32" s="0" t="n">
        <v>642.557688</v>
      </c>
      <c r="S32" s="0" t="n">
        <v>632.473862</v>
      </c>
      <c r="T32" s="0" t="n">
        <v>621.897624</v>
      </c>
      <c r="U32" s="0" t="n">
        <v>572.630981</v>
      </c>
      <c r="V32" s="0" t="n">
        <v>562.76721</v>
      </c>
    </row>
    <row r="33" customFormat="false" ht="12.8" hidden="false" customHeight="false" outlineLevel="0" collapsed="false">
      <c r="A33" s="19" t="n">
        <v>728.013737</v>
      </c>
      <c r="B33" s="0" t="n">
        <v>727.52409</v>
      </c>
      <c r="C33" s="0" t="n">
        <v>726.439092</v>
      </c>
      <c r="D33" s="0" t="n">
        <v>724.781924</v>
      </c>
      <c r="E33" s="0" t="n">
        <v>722.558612</v>
      </c>
      <c r="F33" s="0" t="n">
        <v>719.771536</v>
      </c>
      <c r="G33" s="0" t="n">
        <v>716.421871</v>
      </c>
      <c r="H33" s="0" t="n">
        <v>712.510284</v>
      </c>
      <c r="I33" s="0" t="n">
        <v>708.037183</v>
      </c>
      <c r="J33" s="0" t="n">
        <v>703.002837</v>
      </c>
      <c r="K33" s="0" t="n">
        <v>697.407428</v>
      </c>
      <c r="L33" s="0" t="n">
        <v>691.251085</v>
      </c>
      <c r="M33" s="0" t="n">
        <v>684.533899</v>
      </c>
      <c r="N33" s="0" t="n">
        <v>677.255937</v>
      </c>
      <c r="O33" s="0" t="n">
        <v>669.417246</v>
      </c>
      <c r="P33" s="0" t="n">
        <v>661.01786</v>
      </c>
      <c r="Q33" s="0" t="n">
        <v>652.057805</v>
      </c>
      <c r="R33" s="0" t="n">
        <v>642.537095</v>
      </c>
      <c r="S33" s="0" t="n">
        <v>632.455743</v>
      </c>
      <c r="T33" s="0" t="n">
        <v>621.881983</v>
      </c>
      <c r="U33" s="0" t="n">
        <v>572.626596</v>
      </c>
      <c r="V33" s="0" t="n">
        <v>562.765135</v>
      </c>
    </row>
    <row r="34" customFormat="false" ht="12.8" hidden="false" customHeight="false" outlineLevel="0" collapsed="false">
      <c r="A34" s="20" t="n">
        <v>728.070014</v>
      </c>
      <c r="B34" s="0" t="n">
        <v>727.580155</v>
      </c>
      <c r="C34" s="0" t="n">
        <v>726.494692</v>
      </c>
      <c r="D34" s="0" t="n">
        <v>724.836815</v>
      </c>
      <c r="E34" s="0" t="n">
        <v>722.612561</v>
      </c>
      <c r="F34" s="0" t="n">
        <v>719.824314</v>
      </c>
      <c r="G34" s="0" t="n">
        <v>716.47326</v>
      </c>
      <c r="H34" s="0" t="n">
        <v>712.560072</v>
      </c>
      <c r="I34" s="0" t="n">
        <v>708.08517</v>
      </c>
      <c r="J34" s="0" t="n">
        <v>703.048835</v>
      </c>
      <c r="K34" s="0" t="n">
        <v>697.451261</v>
      </c>
      <c r="L34" s="0" t="n">
        <v>691.292591</v>
      </c>
      <c r="M34" s="0" t="n">
        <v>684.572931</v>
      </c>
      <c r="N34" s="0" t="n">
        <v>677.292363</v>
      </c>
      <c r="O34" s="0" t="n">
        <v>669.450952</v>
      </c>
      <c r="P34" s="0" t="n">
        <v>661.048748</v>
      </c>
      <c r="Q34" s="0" t="n">
        <v>652.085793</v>
      </c>
      <c r="R34" s="0" t="n">
        <v>642.562123</v>
      </c>
      <c r="S34" s="0" t="n">
        <v>632.477764</v>
      </c>
      <c r="T34" s="0" t="n">
        <v>621.900993</v>
      </c>
      <c r="U34" s="0" t="n">
        <v>572.631925</v>
      </c>
      <c r="V34" s="0" t="n">
        <v>562.767657</v>
      </c>
    </row>
    <row r="35" customFormat="false" ht="12.8" hidden="false" customHeight="false" outlineLevel="0" collapsed="false">
      <c r="A35" s="0" t="n">
        <v>727.982373</v>
      </c>
      <c r="B35" s="0" t="n">
        <v>727.531362</v>
      </c>
      <c r="C35" s="0" t="n">
        <v>726.460313</v>
      </c>
      <c r="D35" s="0" t="n">
        <v>724.81107</v>
      </c>
      <c r="E35" s="0" t="n">
        <v>722.593016</v>
      </c>
      <c r="F35" s="0" t="n">
        <v>719.809627</v>
      </c>
      <c r="G35" s="0" t="n">
        <v>716.462574</v>
      </c>
      <c r="H35" s="0" t="n">
        <v>712.55279</v>
      </c>
      <c r="I35" s="0" t="n">
        <v>708.080854</v>
      </c>
      <c r="J35" s="0" t="n">
        <v>703.047146</v>
      </c>
      <c r="K35" s="0" t="n">
        <v>697.451931</v>
      </c>
      <c r="L35" s="0" t="n">
        <v>691.295401</v>
      </c>
      <c r="M35" s="0" t="n">
        <v>684.577701</v>
      </c>
      <c r="N35" s="0" t="n">
        <v>677.29894</v>
      </c>
      <c r="O35" s="0" t="n">
        <v>669.459205</v>
      </c>
      <c r="P35" s="0" t="n">
        <v>661.058565</v>
      </c>
      <c r="Q35" s="0" t="n">
        <v>652.097076</v>
      </c>
      <c r="R35" s="0" t="n">
        <v>642.574784</v>
      </c>
      <c r="S35" s="0" t="n">
        <v>632.491727</v>
      </c>
      <c r="T35" s="0" t="n">
        <v>621.914427</v>
      </c>
      <c r="U35" s="0" t="n">
        <v>572.645359</v>
      </c>
      <c r="V35" s="0" t="n">
        <v>562.767661</v>
      </c>
    </row>
    <row r="36" customFormat="false" ht="12.8" hidden="false" customHeight="false" outlineLevel="0" collapsed="false">
      <c r="A36" s="0" t="n">
        <f aca="false">A34-A35</f>
        <v>0.0876409999999623</v>
      </c>
      <c r="B36" s="0" t="n">
        <f aca="false">B34-B35</f>
        <v>0.0487930000000461</v>
      </c>
      <c r="C36" s="0" t="n">
        <f aca="false">C34-C35</f>
        <v>0.0343789999999444</v>
      </c>
      <c r="D36" s="0" t="n">
        <f aca="false">D34-D35</f>
        <v>0.025745000000029</v>
      </c>
      <c r="E36" s="0" t="n">
        <f aca="false">E34-E35</f>
        <v>0.0195449999999937</v>
      </c>
      <c r="F36" s="0" t="n">
        <f aca="false">F34-F35</f>
        <v>0.0146869999999808</v>
      </c>
      <c r="G36" s="0" t="n">
        <f aca="false">G34-G35</f>
        <v>0.0106859999999642</v>
      </c>
      <c r="H36" s="0" t="n">
        <f aca="false">H34-H35</f>
        <v>0.00728200000003199</v>
      </c>
      <c r="I36" s="0" t="n">
        <f aca="false">I34-I35</f>
        <v>0.0043159999999034</v>
      </c>
      <c r="J36" s="0" t="n">
        <f aca="false">J34-J35</f>
        <v>0.00168900000005578</v>
      </c>
      <c r="K36" s="0" t="n">
        <f aca="false">K34-K35</f>
        <v>-0.000669999999900028</v>
      </c>
      <c r="L36" s="0" t="n">
        <f aca="false">L34-L35</f>
        <v>-0.00280999999995402</v>
      </c>
      <c r="M36" s="0" t="n">
        <f aca="false">M34-M35</f>
        <v>-0.00477000000000771</v>
      </c>
      <c r="N36" s="0" t="n">
        <f aca="false">N34-N35</f>
        <v>-0.00657699999999295</v>
      </c>
      <c r="O36" s="0" t="n">
        <f aca="false">O34-O35</f>
        <v>-0.00825299999996787</v>
      </c>
      <c r="P36" s="0" t="n">
        <f aca="false">P34-P35</f>
        <v>-0.00981699999999819</v>
      </c>
      <c r="Q36" s="0" t="n">
        <f aca="false">Q34-Q35</f>
        <v>-0.0112830000000486</v>
      </c>
      <c r="R36" s="0" t="n">
        <f aca="false">R34-R35</f>
        <v>-0.0126609999999801</v>
      </c>
      <c r="S36" s="0" t="n">
        <f aca="false">S34-S35</f>
        <v>-0.0139629999999897</v>
      </c>
      <c r="T36" s="0" t="n">
        <f aca="false">T34-T35</f>
        <v>-0.0134340000000748</v>
      </c>
      <c r="U36" s="0" t="n">
        <f aca="false">U34-U35</f>
        <v>-0.0134339999999611</v>
      </c>
      <c r="V36" s="0" t="n">
        <f aca="false">V34-V35</f>
        <v>-3.99999998990097E-006</v>
      </c>
    </row>
  </sheetData>
  <mergeCells count="1">
    <mergeCell ref="A1:D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V29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F22" activeCellId="0" sqref="F22"/>
    </sheetView>
  </sheetViews>
  <sheetFormatPr defaultRowHeight="12.8"/>
  <cols>
    <col collapsed="false" hidden="false" max="3" min="1" style="0" width="11.5204081632653"/>
    <col collapsed="false" hidden="false" max="4" min="4" style="0" width="14.2908163265306"/>
    <col collapsed="false" hidden="false" max="5" min="5" style="0" width="17.3775510204082"/>
    <col collapsed="false" hidden="false" max="6" min="6" style="0" width="15.8928571428571"/>
    <col collapsed="false" hidden="false" max="7" min="7" style="0" width="18"/>
    <col collapsed="false" hidden="false" max="8" min="8" style="0" width="11.5204081632653"/>
    <col collapsed="false" hidden="false" max="9" min="9" style="0" width="12.8979591836735"/>
    <col collapsed="false" hidden="false" max="13" min="10" style="0" width="18"/>
    <col collapsed="false" hidden="false" max="14" min="14" style="0" width="12.8979591836735"/>
    <col collapsed="false" hidden="false" max="18" min="15" style="0" width="11.5204081632653"/>
    <col collapsed="false" hidden="false" max="19" min="19" style="0" width="17.3775510204082"/>
    <col collapsed="false" hidden="false" max="1025" min="20" style="0" width="11.5204081632653"/>
  </cols>
  <sheetData>
    <row r="7" customFormat="false" ht="12.8" hidden="false" customHeight="false" outlineLevel="0" collapsed="false">
      <c r="E7" s="1"/>
      <c r="F7" s="22" t="s">
        <v>125</v>
      </c>
      <c r="G7" s="22"/>
      <c r="H7" s="22"/>
      <c r="I7" s="22"/>
      <c r="J7" s="22"/>
      <c r="K7" s="22"/>
      <c r="M7" s="23" t="s">
        <v>126</v>
      </c>
      <c r="N7" s="23"/>
      <c r="O7" s="23"/>
      <c r="P7" s="23"/>
    </row>
    <row r="8" customFormat="false" ht="12.8" hidden="false" customHeight="false" outlineLevel="0" collapsed="false">
      <c r="E8" s="1" t="s">
        <v>127</v>
      </c>
      <c r="F8" s="1" t="s">
        <v>128</v>
      </c>
      <c r="G8" s="1" t="s">
        <v>109</v>
      </c>
      <c r="H8" s="1" t="s">
        <v>110</v>
      </c>
      <c r="I8" s="1" t="s">
        <v>112</v>
      </c>
      <c r="J8" s="1" t="s">
        <v>113</v>
      </c>
      <c r="K8" s="1"/>
      <c r="L8" s="0" t="str">
        <f aca="false">E8</f>
        <v>delta_R_1 [cm]</v>
      </c>
      <c r="M8" s="24" t="s">
        <v>109</v>
      </c>
      <c r="N8" s="24" t="s">
        <v>110</v>
      </c>
      <c r="O8" s="24" t="s">
        <v>112</v>
      </c>
      <c r="P8" s="24" t="s">
        <v>113</v>
      </c>
      <c r="Q8" s="1"/>
      <c r="R8" s="1" t="s">
        <v>129</v>
      </c>
      <c r="S8" s="24" t="s">
        <v>109</v>
      </c>
      <c r="T8" s="24" t="s">
        <v>110</v>
      </c>
      <c r="U8" s="24" t="s">
        <v>112</v>
      </c>
      <c r="V8" s="24" t="s">
        <v>113</v>
      </c>
    </row>
    <row r="9" customFormat="false" ht="12.8" hidden="false" customHeight="false" outlineLevel="0" collapsed="false">
      <c r="E9" s="9" t="n">
        <f aca="false">'SS Rod Radial Profile_5'!D14</f>
        <v>0.0643624305720022</v>
      </c>
      <c r="F9" s="5" t="n">
        <f aca="false">'SS Rod Radial Profile_10'!C15</f>
        <v>92.0569623145947</v>
      </c>
      <c r="G9" s="5" t="n">
        <f aca="false">'SS Rod Radial Profile_5'!C16</f>
        <v>90.8356150000001</v>
      </c>
      <c r="H9" s="0" t="n">
        <f aca="false">'SS Rod Radial Profile_5'!C17</f>
        <v>90.8127494444444</v>
      </c>
      <c r="I9" s="0" t="n">
        <f aca="false">'SS Rod Radial Profile_5'!C18</f>
        <v>90.8403109259259</v>
      </c>
      <c r="J9" s="0" t="n">
        <f aca="false">'SS Rod Radial Profile_5'!C19</f>
        <v>90.0760298148147</v>
      </c>
      <c r="L9" s="0" t="n">
        <f aca="false">E9</f>
        <v>0.0643624305720022</v>
      </c>
      <c r="M9" s="25" t="n">
        <f aca="false">ABS(G9-$F9)</f>
        <v>1.2213473145946</v>
      </c>
      <c r="N9" s="25" t="n">
        <f aca="false">ABS(H9-$F9)</f>
        <v>1.24421287015028</v>
      </c>
      <c r="O9" s="25" t="n">
        <f aca="false">ABS(I9-$F9)</f>
        <v>1.21665138866872</v>
      </c>
      <c r="P9" s="25" t="n">
        <f aca="false">ABS(J9-$F9)</f>
        <v>1.98093249977991</v>
      </c>
      <c r="R9" s="0" t="n">
        <f aca="false">LN(ABS(E9))</f>
        <v>-2.74322519231309</v>
      </c>
      <c r="S9" s="0" t="n">
        <f aca="false">LN(ABS(M9))</f>
        <v>0.199954605617495</v>
      </c>
      <c r="T9" s="0" t="n">
        <f aca="false">LN(ABS(N9))</f>
        <v>0.218503097162207</v>
      </c>
      <c r="U9" s="0" t="n">
        <f aca="false">LN(ABS(O9))</f>
        <v>0.196102321588863</v>
      </c>
      <c r="V9" s="0" t="n">
        <f aca="false">LN(ABS(P9))</f>
        <v>0.683567693324637</v>
      </c>
    </row>
    <row r="10" customFormat="false" ht="12.8" hidden="false" customHeight="false" outlineLevel="0" collapsed="false">
      <c r="E10" s="9" t="n">
        <f aca="false">'SS Rod Radial Profile_10'!D14</f>
        <v>0.0304874671130537</v>
      </c>
      <c r="F10" s="5" t="n">
        <f aca="false">F9</f>
        <v>92.0569623145947</v>
      </c>
      <c r="G10" s="5" t="n">
        <f aca="false">'SS Rod Radial Profile_10'!C16</f>
        <v>91.6412183333334</v>
      </c>
      <c r="H10" s="0" t="n">
        <f aca="false">'SS Rod Radial Profile_10'!C17</f>
        <v>91.6169740740741</v>
      </c>
      <c r="I10" s="0" t="n">
        <f aca="false">'SS Rod Radial Profile_10'!C18</f>
        <v>91.6463927777778</v>
      </c>
      <c r="J10" s="0" t="n">
        <f aca="false">'SS Rod Radial Profile_10'!C19</f>
        <v>91.3401883333333</v>
      </c>
      <c r="K10" s="0" t="n">
        <f aca="false">E9/E10</f>
        <v>2.11111111111111</v>
      </c>
      <c r="L10" s="0" t="n">
        <f aca="false">E10</f>
        <v>0.0304874671130537</v>
      </c>
      <c r="M10" s="25" t="n">
        <f aca="false">ABS(G10-$F10)</f>
        <v>0.415743981261301</v>
      </c>
      <c r="N10" s="25" t="n">
        <f aca="false">ABS(H10-$F10)</f>
        <v>0.439988240520549</v>
      </c>
      <c r="O10" s="25" t="n">
        <f aca="false">ABS(I10-$F10)</f>
        <v>0.410569536816908</v>
      </c>
      <c r="P10" s="25" t="n">
        <f aca="false">ABS(J10-$F10)</f>
        <v>0.716773981261326</v>
      </c>
      <c r="R10" s="1" t="n">
        <f aca="false">LN(E10)</f>
        <v>-3.49043959414331</v>
      </c>
      <c r="S10" s="0" t="n">
        <f aca="false">LN(ABS(M10))</f>
        <v>-0.877685637835777</v>
      </c>
      <c r="T10" s="0" t="n">
        <f aca="false">LN(ABS(N10))</f>
        <v>-0.82100727851664</v>
      </c>
      <c r="U10" s="0" t="n">
        <f aca="false">LN(ABS(O10))</f>
        <v>-0.89020996902275</v>
      </c>
      <c r="V10" s="0" t="n">
        <f aca="false">LN(ABS(P10))</f>
        <v>-0.332994716443773</v>
      </c>
    </row>
    <row r="11" customFormat="false" ht="12.8" hidden="false" customHeight="false" outlineLevel="0" collapsed="false">
      <c r="E11" s="9" t="n">
        <f aca="false">'SS Rod Radial Profile_20'!D14</f>
        <v>0.014852868593539</v>
      </c>
      <c r="F11" s="5" t="n">
        <f aca="false">F10</f>
        <v>92.0569623145947</v>
      </c>
      <c r="G11" s="5" t="n">
        <f aca="false">'SS Rod Radial Profile_20'!C16</f>
        <v>91.9200587037037</v>
      </c>
      <c r="H11" s="0" t="n">
        <f aca="false">'SS Rod Radial Profile_20'!C17</f>
        <v>91.8954542592593</v>
      </c>
      <c r="I11" s="0" t="n">
        <f aca="false">'SS Rod Radial Profile_20'!C18</f>
        <v>91.9253574074074</v>
      </c>
      <c r="J11" s="0" t="n">
        <f aca="false">'SS Rod Radial Profile_20'!C19</f>
        <v>91.8694716666667</v>
      </c>
      <c r="K11" s="0" t="n">
        <f aca="false">E10/E11</f>
        <v>2.05263157894737</v>
      </c>
      <c r="L11" s="0" t="n">
        <f aca="false">E11</f>
        <v>0.014852868593539</v>
      </c>
      <c r="M11" s="25" t="n">
        <f aca="false">ABS(G11-$F11)</f>
        <v>0.136903610890954</v>
      </c>
      <c r="N11" s="25" t="n">
        <f aca="false">ABS(H11-$F11)</f>
        <v>0.161508055335375</v>
      </c>
      <c r="O11" s="25" t="n">
        <f aca="false">ABS(I11-$F11)</f>
        <v>0.131604907187239</v>
      </c>
      <c r="P11" s="25" t="n">
        <f aca="false">ABS(J11-$F11)</f>
        <v>0.187490647927916</v>
      </c>
      <c r="R11" s="1" t="n">
        <f aca="false">LN(E11)</f>
        <v>-4.20956226110651</v>
      </c>
      <c r="S11" s="0" t="n">
        <f aca="false">LN(ABS(M11))</f>
        <v>-1.98847817091466</v>
      </c>
      <c r="T11" s="0" t="n">
        <f aca="false">LN(ABS(N11))</f>
        <v>-1.82320025932569</v>
      </c>
      <c r="U11" s="0" t="n">
        <f aca="false">LN(ABS(O11))</f>
        <v>-2.0279509721293</v>
      </c>
      <c r="V11" s="0" t="n">
        <f aca="false">LN(ABS(P11))</f>
        <v>-1.67402631253339</v>
      </c>
    </row>
    <row r="12" customFormat="false" ht="12.8" hidden="false" customHeight="false" outlineLevel="0" collapsed="false">
      <c r="E12" s="1"/>
      <c r="F12" s="5"/>
      <c r="G12" s="5"/>
    </row>
    <row r="13" customFormat="false" ht="12.8" hidden="false" customHeight="false" outlineLevel="0" collapsed="false">
      <c r="M13" s="23" t="s">
        <v>130</v>
      </c>
      <c r="N13" s="23"/>
      <c r="O13" s="23"/>
      <c r="P13" s="23"/>
    </row>
    <row r="14" customFormat="false" ht="12.8" hidden="false" customHeight="false" outlineLevel="0" collapsed="false">
      <c r="G14" s="1" t="s">
        <v>131</v>
      </c>
      <c r="H14" s="0" t="str">
        <f aca="false">E8</f>
        <v>delta_R_1 [cm]</v>
      </c>
      <c r="L14" s="1" t="s">
        <v>131</v>
      </c>
      <c r="M14" s="24" t="s">
        <v>109</v>
      </c>
      <c r="N14" s="24" t="s">
        <v>110</v>
      </c>
      <c r="O14" s="24" t="s">
        <v>112</v>
      </c>
      <c r="P14" s="24" t="s">
        <v>113</v>
      </c>
    </row>
    <row r="15" customFormat="false" ht="12.8" hidden="false" customHeight="false" outlineLevel="0" collapsed="false">
      <c r="G15" s="1" t="n">
        <f aca="false">1/5</f>
        <v>0.2</v>
      </c>
      <c r="H15" s="0" t="n">
        <f aca="false">E9</f>
        <v>0.0643624305720022</v>
      </c>
      <c r="K15" s="1" t="n">
        <v>5</v>
      </c>
      <c r="L15" s="1" t="n">
        <f aca="false">1/5</f>
        <v>0.2</v>
      </c>
      <c r="M15" s="26" t="n">
        <f aca="false">ABS(G9-$F9)/$F9</f>
        <v>0.0132672997662119</v>
      </c>
      <c r="N15" s="26" t="n">
        <f aca="false">ABS(H9-$F9)/$F9</f>
        <v>0.0135156846246818</v>
      </c>
      <c r="O15" s="26" t="n">
        <f aca="false">ABS(I9-$F9)/$F9</f>
        <v>0.0132162886769058</v>
      </c>
      <c r="P15" s="26" t="n">
        <f aca="false">ABS(J9-$F9)/$F9</f>
        <v>0.0215185516659814</v>
      </c>
    </row>
    <row r="16" customFormat="false" ht="12.8" hidden="false" customHeight="false" outlineLevel="0" collapsed="false">
      <c r="G16" s="1" t="n">
        <f aca="false">1/10</f>
        <v>0.1</v>
      </c>
      <c r="H16" s="0" t="n">
        <f aca="false">E10</f>
        <v>0.0304874671130537</v>
      </c>
      <c r="K16" s="1" t="n">
        <v>10</v>
      </c>
      <c r="L16" s="1" t="n">
        <f aca="false">1/10</f>
        <v>0.1</v>
      </c>
      <c r="M16" s="26" t="n">
        <f aca="false">ABS(G10-$F10)/$F10</f>
        <v>0.00451616011226333</v>
      </c>
      <c r="N16" s="26" t="n">
        <f aca="false">ABS(H10-$F10)/$F10</f>
        <v>0.00477952160768609</v>
      </c>
      <c r="O16" s="26" t="n">
        <f aca="false">ABS(I10-$F10)/$F10</f>
        <v>0.00445995095312651</v>
      </c>
      <c r="P16" s="26" t="n">
        <f aca="false">ABS(J10-$F10)/$F10</f>
        <v>0.0077862006657555</v>
      </c>
    </row>
    <row r="17" customFormat="false" ht="12.8" hidden="false" customHeight="false" outlineLevel="0" collapsed="false">
      <c r="F17" s="1"/>
      <c r="G17" s="1" t="n">
        <f aca="false">1/20</f>
        <v>0.05</v>
      </c>
      <c r="H17" s="0" t="n">
        <f aca="false">E11</f>
        <v>0.014852868593539</v>
      </c>
      <c r="I17" s="1"/>
      <c r="J17" s="1"/>
      <c r="K17" s="1" t="n">
        <v>20</v>
      </c>
      <c r="L17" s="1" t="n">
        <f aca="false">1/20</f>
        <v>0.05</v>
      </c>
      <c r="M17" s="26" t="n">
        <f aca="false">ABS(G11-$F11)/$F11</f>
        <v>0.0014871619424406</v>
      </c>
      <c r="N17" s="26" t="n">
        <f aca="false">ABS(H11-$F11)/$F11</f>
        <v>0.00175443607169481</v>
      </c>
      <c r="O17" s="26" t="n">
        <f aca="false">ABS(I11-$F11)/$F11</f>
        <v>0.00142960297492213</v>
      </c>
      <c r="P17" s="26" t="n">
        <f aca="false">ABS(J11-$F11)/$F11</f>
        <v>0.00203668080299225</v>
      </c>
    </row>
    <row r="18" customFormat="false" ht="12.8" hidden="false" customHeight="false" outlineLevel="0" collapsed="false">
      <c r="F18" s="1"/>
      <c r="G18" s="5"/>
      <c r="H18" s="5"/>
      <c r="I18" s="1"/>
      <c r="J18" s="1"/>
      <c r="K18" s="1"/>
      <c r="L18" s="1"/>
      <c r="M18" s="1"/>
      <c r="N18" s="1"/>
      <c r="O18" s="1"/>
    </row>
    <row r="19" customFormat="false" ht="12.8" hidden="false" customHeight="false" outlineLevel="0" collapsed="false">
      <c r="F19" s="1"/>
      <c r="G19" s="5" t="n">
        <f aca="false">SLOPE(H15:H17,G15:G17)</f>
        <v>0.33130458767543</v>
      </c>
      <c r="H19" s="5"/>
      <c r="I19" s="1"/>
      <c r="J19" s="1"/>
      <c r="K19" s="1"/>
      <c r="L19" s="1"/>
      <c r="M19" s="24" t="s">
        <v>109</v>
      </c>
      <c r="N19" s="24" t="s">
        <v>110</v>
      </c>
      <c r="O19" s="24" t="s">
        <v>112</v>
      </c>
      <c r="P19" s="24" t="s">
        <v>113</v>
      </c>
    </row>
    <row r="20" customFormat="false" ht="12.8" hidden="false" customHeight="false" outlineLevel="0" collapsed="false">
      <c r="F20" s="1"/>
      <c r="G20" s="5"/>
      <c r="H20" s="5"/>
      <c r="I20" s="1"/>
      <c r="J20" s="1"/>
      <c r="K20" s="1"/>
      <c r="L20" s="0" t="s">
        <v>132</v>
      </c>
      <c r="M20" s="0" t="n">
        <f aca="false">LN((M11-M10)/(M10-M9))/LN(0.5)</f>
        <v>1.53063020377592</v>
      </c>
      <c r="N20" s="0" t="n">
        <f aca="false">LN((N11-N10)/(N10-N9))/LN(0.5)</f>
        <v>1.53002384125449</v>
      </c>
      <c r="O20" s="0" t="n">
        <f aca="false">LN((O11-O10)/(O10-O9))/LN(0.5)</f>
        <v>1.53084412951881</v>
      </c>
      <c r="P20" s="0" t="n">
        <f aca="false">LN((P11-P10)/(P10-P9))/LN(0.5)</f>
        <v>1.25606525027097</v>
      </c>
      <c r="S20" s="0" t="n">
        <f aca="false">SLOPE(S9:S11,$R9:$R11)</f>
        <v>1.492121723678</v>
      </c>
      <c r="T20" s="0" t="n">
        <f aca="false">SLOPE(T9:T11,$R9:$R11)</f>
        <v>1.39237554952332</v>
      </c>
      <c r="U20" s="0" t="n">
        <f aca="false">SLOPE(U9:U11,$R9:$R11)</f>
        <v>1.51633134311695</v>
      </c>
      <c r="V20" s="0" t="n">
        <f aca="false">SLOPE(V9:V11,$R9:$R11)</f>
        <v>1.60620220444215</v>
      </c>
    </row>
    <row r="21" customFormat="false" ht="12.8" hidden="false" customHeight="false" outlineLevel="0" collapsed="false">
      <c r="D21" s="1" t="s">
        <v>133</v>
      </c>
      <c r="E21" s="1" t="n">
        <v>1</v>
      </c>
      <c r="F21" s="1" t="n">
        <v>0.02</v>
      </c>
      <c r="G21" s="1" t="n">
        <v>0.02</v>
      </c>
    </row>
    <row r="22" customFormat="false" ht="12.8" hidden="false" customHeight="false" outlineLevel="0" collapsed="false">
      <c r="D22" s="1" t="str">
        <f aca="false">E8</f>
        <v>delta_R_1 [cm]</v>
      </c>
      <c r="E22" s="1" t="s">
        <v>109</v>
      </c>
      <c r="F22" s="1" t="s">
        <v>110</v>
      </c>
      <c r="G22" s="0" t="s">
        <v>134</v>
      </c>
    </row>
    <row r="23" customFormat="false" ht="12.8" hidden="false" customHeight="false" outlineLevel="0" collapsed="false">
      <c r="D23" s="1" t="n">
        <f aca="false">E9</f>
        <v>0.0643624305720022</v>
      </c>
      <c r="E23" s="1" t="n">
        <v>0.694</v>
      </c>
      <c r="F23" s="1" t="n">
        <v>5.551</v>
      </c>
      <c r="G23" s="0" t="n">
        <v>5.672</v>
      </c>
    </row>
    <row r="24" customFormat="false" ht="12.8" hidden="false" customHeight="false" outlineLevel="0" collapsed="false">
      <c r="D24" s="1" t="n">
        <f aca="false">E10</f>
        <v>0.0304874671130537</v>
      </c>
      <c r="E24" s="1" t="n">
        <v>1.022</v>
      </c>
      <c r="F24" s="1" t="n">
        <v>7.822</v>
      </c>
      <c r="G24" s="0" t="n">
        <v>6.049</v>
      </c>
    </row>
    <row r="25" customFormat="false" ht="12.8" hidden="false" customHeight="false" outlineLevel="0" collapsed="false">
      <c r="D25" s="1" t="n">
        <f aca="false">E11</f>
        <v>0.014852868593539</v>
      </c>
      <c r="E25" s="1" t="n">
        <v>1.796</v>
      </c>
      <c r="F25" s="1" t="n">
        <v>14.374</v>
      </c>
      <c r="G25" s="0" t="n">
        <v>6.65</v>
      </c>
    </row>
    <row r="27" customFormat="false" ht="12.8" hidden="false" customHeight="false" outlineLevel="0" collapsed="false">
      <c r="E27" s="5" t="n">
        <f aca="false">E23/E$23</f>
        <v>1</v>
      </c>
      <c r="F27" s="5" t="n">
        <f aca="false">F23/F$23</f>
        <v>1</v>
      </c>
      <c r="G27" s="5" t="n">
        <f aca="false">G23/G$23</f>
        <v>1</v>
      </c>
    </row>
    <row r="28" customFormat="false" ht="12.8" hidden="false" customHeight="false" outlineLevel="0" collapsed="false">
      <c r="E28" s="5" t="n">
        <f aca="false">E24/E$23</f>
        <v>1.47262247838617</v>
      </c>
      <c r="F28" s="5" t="n">
        <f aca="false">F24/F$23</f>
        <v>1.40911547468925</v>
      </c>
      <c r="G28" s="5" t="n">
        <f aca="false">G24/G$23</f>
        <v>1.06646685472497</v>
      </c>
    </row>
    <row r="29" customFormat="false" ht="12.8" hidden="false" customHeight="false" outlineLevel="0" collapsed="false">
      <c r="E29" s="5" t="n">
        <f aca="false">E25/E$23</f>
        <v>2.58789625360231</v>
      </c>
      <c r="F29" s="5" t="n">
        <f aca="false">F25/F$23</f>
        <v>2.5894433435417</v>
      </c>
      <c r="G29" s="5" t="n">
        <f aca="false">G25/G$23</f>
        <v>1.17242595204513</v>
      </c>
    </row>
  </sheetData>
  <mergeCells count="3">
    <mergeCell ref="F7:I7"/>
    <mergeCell ref="M7:P7"/>
    <mergeCell ref="M13:P1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7:R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6" activeCellId="0" sqref="J26"/>
    </sheetView>
  </sheetViews>
  <sheetFormatPr defaultRowHeight="12.8"/>
  <cols>
    <col collapsed="false" hidden="false" max="1025" min="1" style="0" width="11.5204081632653"/>
  </cols>
  <sheetData>
    <row r="7" customFormat="false" ht="12.8" hidden="false" customHeight="false" outlineLevel="0" collapsed="false"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</row>
    <row r="8" customFormat="false" ht="12.8" hidden="false" customHeight="false" outlineLevel="0" collapsed="false">
      <c r="E8" s="0" t="s">
        <v>135</v>
      </c>
      <c r="G8" s="0" t="n">
        <v>0.00100024498402407</v>
      </c>
      <c r="H8" s="0" t="n">
        <v>0.00223661577843101</v>
      </c>
      <c r="I8" s="0" t="n">
        <v>0.00360643457792444</v>
      </c>
      <c r="J8" s="0" t="n">
        <v>0.00500122492012035</v>
      </c>
      <c r="K8" s="0" t="n">
        <v>0.00640469290057516</v>
      </c>
      <c r="L8" s="0" t="n">
        <v>0.00781216306230125</v>
      </c>
      <c r="M8" s="0" t="n">
        <v>0.00922180309839413</v>
      </c>
      <c r="N8" s="0" t="n">
        <v>0.0106327500286323</v>
      </c>
      <c r="O8" s="0" t="n">
        <v>0.0120445445770884</v>
      </c>
      <c r="P8" s="0" t="n">
        <v>0.0134383202099738</v>
      </c>
      <c r="Q8" s="0" t="n">
        <v>0.0137139107611549</v>
      </c>
      <c r="R8" s="0" t="n">
        <v>0.0155839895013123</v>
      </c>
    </row>
    <row r="9" customFormat="false" ht="12.8" hidden="false" customHeight="false" outlineLevel="0" collapsed="false">
      <c r="E9" s="0" t="s">
        <v>136</v>
      </c>
      <c r="F9" s="0" t="n">
        <v>0</v>
      </c>
      <c r="G9" s="0" t="n">
        <v>0.0014145600221025</v>
      </c>
      <c r="H9" s="0" t="n">
        <v>0.002829120044205</v>
      </c>
      <c r="I9" s="0" t="n">
        <v>0.0042436800663075</v>
      </c>
      <c r="J9" s="0" t="n">
        <v>0.00565824008841</v>
      </c>
      <c r="K9" s="0" t="n">
        <v>0.0070728001105125</v>
      </c>
      <c r="L9" s="0" t="n">
        <v>0.008487360132615</v>
      </c>
      <c r="M9" s="0" t="n">
        <v>0.0099019201547175</v>
      </c>
      <c r="N9" s="0" t="n">
        <v>0.01131648017682</v>
      </c>
      <c r="O9" s="0" t="n">
        <v>0.0127310401989225</v>
      </c>
      <c r="P9" s="0" t="n">
        <v>0.0134383202099738</v>
      </c>
      <c r="Q9" s="0" t="n">
        <v>0.0146489501312336</v>
      </c>
      <c r="R9" s="0" t="n">
        <v>0.0155839895013123</v>
      </c>
    </row>
    <row r="10" customFormat="false" ht="12.8" hidden="false" customHeight="false" outlineLevel="0" collapsed="false">
      <c r="E10" s="0" t="s">
        <v>137</v>
      </c>
      <c r="F10" s="0" t="n">
        <v>6.28626423713656E-006</v>
      </c>
      <c r="G10" s="0" t="n">
        <v>1.88587927114097E-005</v>
      </c>
      <c r="H10" s="0" t="n">
        <v>3.14313211856828E-005</v>
      </c>
      <c r="I10" s="0" t="n">
        <v>4.40038496599559E-005</v>
      </c>
      <c r="J10" s="0" t="n">
        <v>5.65763781342291E-005</v>
      </c>
      <c r="K10" s="0" t="n">
        <v>6.91489066085022E-005</v>
      </c>
      <c r="L10" s="0" t="n">
        <v>8.17214350827754E-005</v>
      </c>
      <c r="M10" s="0" t="n">
        <v>9.42939635570485E-005</v>
      </c>
      <c r="N10" s="0" t="n">
        <v>0.000106866492031322</v>
      </c>
      <c r="O10" s="0" t="n">
        <v>5.81479441935131E-005</v>
      </c>
      <c r="P10" s="0" t="n">
        <v>8.33162672705462E-005</v>
      </c>
      <c r="Q10" s="0" t="n">
        <v>8.88096475301427E-005</v>
      </c>
    </row>
    <row r="11" customFormat="false" ht="12.8" hidden="false" customHeight="false" outlineLevel="0" collapsed="false">
      <c r="F11" s="0" t="n">
        <v>1</v>
      </c>
      <c r="G11" s="0" t="n">
        <v>2</v>
      </c>
      <c r="H11" s="0" t="n">
        <v>3</v>
      </c>
      <c r="I11" s="0" t="n">
        <v>4</v>
      </c>
      <c r="J11" s="0" t="n">
        <v>5</v>
      </c>
      <c r="K11" s="0" t="n">
        <v>6</v>
      </c>
      <c r="L11" s="0" t="n">
        <v>7</v>
      </c>
      <c r="M11" s="0" t="n">
        <v>8</v>
      </c>
      <c r="N11" s="0" t="n">
        <v>9</v>
      </c>
      <c r="O11" s="0" t="n">
        <v>10</v>
      </c>
    </row>
    <row r="12" customFormat="false" ht="12.8" hidden="false" customHeight="false" outlineLevel="0" collapsed="false">
      <c r="E12" s="0" t="s">
        <v>138</v>
      </c>
      <c r="F12" s="0" t="n">
        <f aca="false">PI()*(G9^2-F9^2)</f>
        <v>6.28626424431966E-006</v>
      </c>
      <c r="G12" s="0" t="n">
        <f aca="false">PI()*(H9^2-G9^2)</f>
        <v>1.8858792732959E-005</v>
      </c>
      <c r="H12" s="0" t="n">
        <f aca="false">PI()*(I9^2-H9^2)</f>
        <v>3.14313212215983E-005</v>
      </c>
      <c r="I12" s="0" t="n">
        <f aca="false">PI()*(J9^2-I9^2)</f>
        <v>4.40038497102376E-005</v>
      </c>
      <c r="J12" s="0" t="n">
        <f aca="false">PI()*(K9^2-J9^2)</f>
        <v>5.6576378198877E-005</v>
      </c>
      <c r="K12" s="0" t="n">
        <f aca="false">PI()*(L9^2-K9^2)</f>
        <v>6.91489066875163E-005</v>
      </c>
      <c r="L12" s="0" t="n">
        <f aca="false">PI()*(M9^2-L9^2)</f>
        <v>8.17214351761556E-005</v>
      </c>
      <c r="M12" s="0" t="n">
        <f aca="false">PI()*(N9^2-M9^2)</f>
        <v>9.4293963664795E-005</v>
      </c>
      <c r="N12" s="0" t="n">
        <f aca="false">PI()*(O9^2-N9^2)</f>
        <v>0.000106866492153434</v>
      </c>
      <c r="O12" s="0" t="n">
        <f aca="false">PI()*(P9^2-O9^2)</f>
        <v>5.81479442599611E-005</v>
      </c>
      <c r="P12" s="0" t="n">
        <f aca="false">PI()*(Q9^2-Q8^2)</f>
        <v>8.33162673657455E-005</v>
      </c>
      <c r="Q12" s="0" t="n">
        <f aca="false">PI()*(R9^2-Q9^2)</f>
        <v>8.88096476316187E-005</v>
      </c>
    </row>
    <row r="13" customFormat="false" ht="12.8" hidden="false" customHeight="false" outlineLevel="0" collapsed="false">
      <c r="E13" s="0" t="s">
        <v>139</v>
      </c>
      <c r="F13" s="0" t="n">
        <f aca="false">F12</f>
        <v>6.28626424431966E-006</v>
      </c>
      <c r="G13" s="0" t="n">
        <f aca="false">G12+F13</f>
        <v>2.51450569772787E-005</v>
      </c>
      <c r="H13" s="0" t="n">
        <f aca="false">H12+G13</f>
        <v>5.6576378198877E-005</v>
      </c>
      <c r="I13" s="0" t="n">
        <f aca="false">I12+H13</f>
        <v>0.000100580227909115</v>
      </c>
      <c r="J13" s="0" t="n">
        <f aca="false">J12+I13</f>
        <v>0.000157156606107992</v>
      </c>
      <c r="K13" s="0" t="n">
        <f aca="false">K12+J13</f>
        <v>0.000226305512795508</v>
      </c>
      <c r="L13" s="0" t="n">
        <f aca="false">L12+K13</f>
        <v>0.000308026947971663</v>
      </c>
      <c r="M13" s="0" t="n">
        <f aca="false">M12+L13</f>
        <v>0.000402320911636459</v>
      </c>
      <c r="N13" s="0" t="n">
        <f aca="false">N12+M13</f>
        <v>0.000509187403789893</v>
      </c>
      <c r="O13" s="0" t="n">
        <f aca="false">O12+N13</f>
        <v>0.000567335348049854</v>
      </c>
    </row>
    <row r="14" customFormat="false" ht="12.8" hidden="false" customHeight="false" outlineLevel="0" collapsed="false">
      <c r="O14" s="0" t="n">
        <f aca="false">PI()*(R_fuel/100/t_ft_m )^2</f>
        <v>0.00056733534804985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R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0" activeCellId="0" sqref="L20"/>
    </sheetView>
  </sheetViews>
  <sheetFormatPr defaultRowHeight="12.8"/>
  <cols>
    <col collapsed="false" hidden="false" max="1025" min="1" style="0" width="11.5204081632653"/>
  </cols>
  <sheetData>
    <row r="6" customFormat="false" ht="12.8" hidden="false" customHeight="false" outlineLevel="0" collapsed="false">
      <c r="C6" s="0" t="s">
        <v>140</v>
      </c>
    </row>
    <row r="7" customFormat="false" ht="12.8" hidden="false" customHeight="false" outlineLevel="0" collapsed="false">
      <c r="D7" s="0" t="s">
        <v>141</v>
      </c>
      <c r="E7" s="0" t="s">
        <v>117</v>
      </c>
    </row>
    <row r="8" customFormat="false" ht="12.8" hidden="false" customHeight="false" outlineLevel="0" collapsed="false">
      <c r="C8" s="0" t="s">
        <v>142</v>
      </c>
      <c r="D8" s="10" t="n">
        <v>5.81479441935131E-005</v>
      </c>
      <c r="E8" s="10" t="n">
        <f aca="false">Sheet6!O12</f>
        <v>5.81479442599611E-005</v>
      </c>
    </row>
    <row r="9" customFormat="false" ht="12.8" hidden="false" customHeight="false" outlineLevel="0" collapsed="false">
      <c r="C9" s="0" t="s">
        <v>20</v>
      </c>
      <c r="E9" s="0" t="n">
        <f aca="false">dz/t_ft_m</f>
        <v>0.6000656167979</v>
      </c>
    </row>
    <row r="10" customFormat="false" ht="12.8" hidden="false" customHeight="false" outlineLevel="0" collapsed="false">
      <c r="C10" s="0" t="s">
        <v>143</v>
      </c>
      <c r="E10" s="0" t="n">
        <f aca="false">Problem_Setup!A25</f>
        <v>2036.85287204149</v>
      </c>
    </row>
    <row r="11" customFormat="false" ht="12.8" hidden="false" customHeight="false" outlineLevel="0" collapsed="false">
      <c r="C11" s="0" t="s">
        <v>144</v>
      </c>
      <c r="E11" s="0" t="n">
        <f aca="false">E10*E9*E8</f>
        <v>0.0710710559368064</v>
      </c>
    </row>
    <row r="12" customFormat="false" ht="12.8" hidden="false" customHeight="false" outlineLevel="0" collapsed="false">
      <c r="M12" s="0" t="n">
        <f aca="false">PI()*(R_fuel/100/t_ft_m )^2</f>
        <v>0.00056733534804985</v>
      </c>
    </row>
    <row r="13" customFormat="false" ht="12.8" hidden="false" customHeight="false" outlineLevel="0" collapsed="false">
      <c r="C13" s="0" t="s">
        <v>138</v>
      </c>
      <c r="D13" s="0" t="n">
        <f aca="false">Sheet6!F12</f>
        <v>6.28626424431966E-006</v>
      </c>
      <c r="E13" s="0" t="n">
        <f aca="false">Sheet6!G12</f>
        <v>1.8858792732959E-005</v>
      </c>
      <c r="F13" s="0" t="n">
        <f aca="false">Sheet6!H12</f>
        <v>3.14313212215983E-005</v>
      </c>
      <c r="G13" s="0" t="n">
        <f aca="false">Sheet6!I12</f>
        <v>4.40038497102376E-005</v>
      </c>
      <c r="H13" s="0" t="n">
        <f aca="false">Sheet6!J12</f>
        <v>5.6576378198877E-005</v>
      </c>
      <c r="I13" s="0" t="n">
        <f aca="false">Sheet6!K12</f>
        <v>6.91489066875163E-005</v>
      </c>
      <c r="J13" s="0" t="n">
        <f aca="false">Sheet6!L12</f>
        <v>8.17214351761556E-005</v>
      </c>
      <c r="K13" s="0" t="n">
        <f aca="false">Sheet6!M12</f>
        <v>9.4293963664795E-005</v>
      </c>
      <c r="L13" s="0" t="n">
        <f aca="false">Sheet6!N12</f>
        <v>0.000106866492153434</v>
      </c>
      <c r="M13" s="0" t="n">
        <f aca="false">Sheet6!O12</f>
        <v>5.81479442599611E-005</v>
      </c>
      <c r="N13" s="0" t="n">
        <f aca="false">Sheet6!P12</f>
        <v>8.33162673657455E-005</v>
      </c>
      <c r="O13" s="0" t="n">
        <f aca="false">Sheet6!Q12</f>
        <v>8.88096476316187E-005</v>
      </c>
    </row>
    <row r="14" customFormat="false" ht="12.8" hidden="false" customHeight="false" outlineLevel="0" collapsed="false">
      <c r="C14" s="0" t="s">
        <v>139</v>
      </c>
      <c r="D14" s="0" t="n">
        <f aca="false">D13</f>
        <v>6.28626424431966E-006</v>
      </c>
      <c r="E14" s="0" t="n">
        <f aca="false">E13+D14</f>
        <v>2.51450569772787E-005</v>
      </c>
      <c r="F14" s="0" t="n">
        <f aca="false">F13+E14</f>
        <v>5.6576378198877E-005</v>
      </c>
      <c r="G14" s="0" t="n">
        <f aca="false">G13+F14</f>
        <v>0.000100580227909115</v>
      </c>
      <c r="H14" s="0" t="n">
        <f aca="false">H13+G14</f>
        <v>0.000157156606107992</v>
      </c>
      <c r="I14" s="0" t="n">
        <f aca="false">I13+H14</f>
        <v>0.000226305512795508</v>
      </c>
      <c r="J14" s="0" t="n">
        <f aca="false">J13+I14</f>
        <v>0.000308026947971663</v>
      </c>
      <c r="K14" s="0" t="n">
        <f aca="false">K13+J14</f>
        <v>0.000402320911636459</v>
      </c>
      <c r="L14" s="0" t="n">
        <f aca="false">L13+K14</f>
        <v>0.000509187403789893</v>
      </c>
      <c r="M14" s="0" t="n">
        <f aca="false">M13+L14</f>
        <v>0.000567335348049854</v>
      </c>
      <c r="N14" s="0" t="n">
        <f aca="false">N13+M14</f>
        <v>0.000650651615415599</v>
      </c>
      <c r="O14" s="0" t="n">
        <f aca="false">O13+N14</f>
        <v>0.000739461263047218</v>
      </c>
    </row>
    <row r="15" customFormat="false" ht="12.8" hidden="false" customHeight="false" outlineLevel="0" collapsed="false">
      <c r="C15" s="0" t="s">
        <v>144</v>
      </c>
      <c r="D15" s="0" t="n">
        <f aca="false">D13*dz/t_ft_m*Problem_Setup!$A$25</f>
        <v>0.0076833573985731</v>
      </c>
      <c r="E15" s="0" t="n">
        <f aca="false">E13*dz/t_ft_m*Problem_Setup!$A$25</f>
        <v>0.0230500721957193</v>
      </c>
      <c r="F15" s="0" t="n">
        <f aca="false">F13*dz/t_ft_m*Problem_Setup!$A$25</f>
        <v>0.0384167869928655</v>
      </c>
      <c r="G15" s="0" t="n">
        <f aca="false">G13*dz/t_ft_m*Problem_Setup!$A$25</f>
        <v>0.0537835017900117</v>
      </c>
      <c r="H15" s="0" t="n">
        <f aca="false">H13*dz/t_ft_m*Problem_Setup!$A$25</f>
        <v>0.0691502165871579</v>
      </c>
      <c r="I15" s="0" t="n">
        <f aca="false">I13*dz/t_ft_m*Problem_Setup!$A$25</f>
        <v>0.0845169313843042</v>
      </c>
      <c r="J15" s="0" t="n">
        <f aca="false">J13*dz/t_ft_m*Problem_Setup!$A$25</f>
        <v>0.0998836461814503</v>
      </c>
      <c r="K15" s="0" t="n">
        <f aca="false">K13*dz/t_ft_m*Problem_Setup!$A$25</f>
        <v>0.115250360978597</v>
      </c>
      <c r="L15" s="0" t="n">
        <f aca="false">L13*dz/t_ft_m*Problem_Setup!$A$25</f>
        <v>0.130617075775743</v>
      </c>
      <c r="M15" s="0" t="n">
        <f aca="false">M13*dz/t_ft_m*Problem_Setup!$A$25</f>
        <v>0.0710710559368064</v>
      </c>
      <c r="N15" s="0" t="n">
        <v>0</v>
      </c>
      <c r="O15" s="0" t="n">
        <v>0</v>
      </c>
    </row>
    <row r="16" customFormat="false" ht="12.8" hidden="false" customHeight="false" outlineLevel="0" collapsed="false">
      <c r="C16" s="0" t="s">
        <v>145</v>
      </c>
      <c r="D16" s="0" t="n">
        <f aca="false">D14*dz/t_ft_m*Problem_Setup!$A$25</f>
        <v>0.0076833573985731</v>
      </c>
      <c r="E16" s="0" t="n">
        <f aca="false">E14*dz/t_ft_m*Problem_Setup!$A$25</f>
        <v>0.0307334295942924</v>
      </c>
      <c r="F16" s="0" t="n">
        <f aca="false">F14*dz/t_ft_m*Problem_Setup!$A$25</f>
        <v>0.0691502165871579</v>
      </c>
      <c r="G16" s="0" t="n">
        <f aca="false">G14*dz/t_ft_m*Problem_Setup!$A$25</f>
        <v>0.12293371837717</v>
      </c>
      <c r="H16" s="0" t="n">
        <f aca="false">H14*dz/t_ft_m*Problem_Setup!$A$25</f>
        <v>0.192083934964328</v>
      </c>
      <c r="I16" s="0" t="n">
        <f aca="false">I14*dz/t_ft_m*Problem_Setup!$A$25</f>
        <v>0.276600866348632</v>
      </c>
      <c r="J16" s="0" t="n">
        <f aca="false">J14*dz/t_ft_m*Problem_Setup!$A$25</f>
        <v>0.376484512530082</v>
      </c>
      <c r="K16" s="0" t="n">
        <f aca="false">K14*dz/t_ft_m*Problem_Setup!$A$25</f>
        <v>0.491734873508679</v>
      </c>
      <c r="L16" s="0" t="n">
        <f aca="false">L14*dz/t_ft_m*Problem_Setup!$A$25</f>
        <v>0.622351949284421</v>
      </c>
      <c r="M16" s="0" t="n">
        <f aca="false">M14*dz/t_ft_m*Problem_Setup!$A$25</f>
        <v>0.693423005221228</v>
      </c>
    </row>
    <row r="18" customFormat="false" ht="12.8" hidden="false" customHeight="false" outlineLevel="0" collapsed="false">
      <c r="D18" s="0" t="n">
        <v>1</v>
      </c>
      <c r="E18" s="0" t="n">
        <v>2</v>
      </c>
      <c r="F18" s="0" t="n">
        <v>3</v>
      </c>
      <c r="G18" s="0" t="n">
        <v>4</v>
      </c>
      <c r="H18" s="0" t="n">
        <v>5</v>
      </c>
      <c r="I18" s="0" t="n">
        <v>6</v>
      </c>
      <c r="J18" s="0" t="n">
        <v>7</v>
      </c>
      <c r="K18" s="0" t="n">
        <v>8</v>
      </c>
      <c r="L18" s="0" t="n">
        <v>9</v>
      </c>
      <c r="M18" s="0" t="n">
        <v>10</v>
      </c>
      <c r="N18" s="0" t="n">
        <v>11</v>
      </c>
      <c r="O18" s="0" t="n">
        <v>12</v>
      </c>
    </row>
    <row r="19" customFormat="false" ht="12.8" hidden="false" customHeight="false" outlineLevel="0" collapsed="false">
      <c r="L19" s="0" t="n">
        <v>0.130617075775743</v>
      </c>
      <c r="M19" s="10" t="n">
        <v>0.0710710559368011</v>
      </c>
      <c r="N19" s="0" t="n">
        <v>0</v>
      </c>
      <c r="O19" s="0" t="n">
        <v>0</v>
      </c>
      <c r="P19" s="0" t="s">
        <v>146</v>
      </c>
      <c r="R19" s="0" t="e">
        <f aca="false">#REF!!J37</f>
        <v>#REF!</v>
      </c>
    </row>
    <row r="20" customFormat="false" ht="12.8" hidden="false" customHeight="false" outlineLevel="0" collapsed="false">
      <c r="M20" s="0" t="n">
        <v>0.656927057721615</v>
      </c>
      <c r="N20" s="0" t="n">
        <v>0.727998113514803</v>
      </c>
      <c r="O20" s="0" t="n">
        <v>0.727998113514803</v>
      </c>
      <c r="P20" s="0" t="s">
        <v>147</v>
      </c>
      <c r="R20" s="0" t="n">
        <v>4</v>
      </c>
    </row>
    <row r="21" customFormat="false" ht="12.8" hidden="false" customHeight="false" outlineLevel="0" collapsed="false">
      <c r="M21" s="0" t="n">
        <f aca="false">M20+M22</f>
        <v>0.727998113658421</v>
      </c>
      <c r="N21" s="0" t="n">
        <f aca="false">N20+N22</f>
        <v>0.727998113514803</v>
      </c>
      <c r="O21" s="0" t="n">
        <f aca="false">O20+O22</f>
        <v>0.727998113514803</v>
      </c>
      <c r="P21" s="0" t="s">
        <v>148</v>
      </c>
      <c r="R21" s="0" t="e">
        <f aca="false">Sheet8!R19/Sheet8!R20</f>
        <v>#REF!</v>
      </c>
    </row>
    <row r="22" customFormat="false" ht="12.8" hidden="false" customHeight="false" outlineLevel="0" collapsed="false">
      <c r="D22" s="0" t="n">
        <f aca="false">D15</f>
        <v>0.0076833573985731</v>
      </c>
      <c r="E22" s="0" t="n">
        <f aca="false">E15</f>
        <v>0.0230500721957193</v>
      </c>
      <c r="F22" s="0" t="n">
        <f aca="false">F15</f>
        <v>0.0384167869928655</v>
      </c>
      <c r="G22" s="0" t="n">
        <f aca="false">G15</f>
        <v>0.0537835017900117</v>
      </c>
      <c r="H22" s="0" t="n">
        <f aca="false">H15</f>
        <v>0.0691502165871579</v>
      </c>
      <c r="I22" s="0" t="n">
        <f aca="false">I15</f>
        <v>0.0845169313843042</v>
      </c>
      <c r="J22" s="0" t="n">
        <f aca="false">J15</f>
        <v>0.0998836461814503</v>
      </c>
      <c r="K22" s="0" t="n">
        <f aca="false">K15</f>
        <v>0.115250360978597</v>
      </c>
      <c r="L22" s="0" t="n">
        <f aca="false">L15</f>
        <v>0.130617075775743</v>
      </c>
      <c r="M22" s="0" t="n">
        <f aca="false">M15</f>
        <v>0.0710710559368064</v>
      </c>
      <c r="N22" s="0" t="n">
        <f aca="false">N15</f>
        <v>0</v>
      </c>
      <c r="O22" s="0" t="n">
        <f aca="false">O15</f>
        <v>0</v>
      </c>
      <c r="P22" s="0" t="s">
        <v>149</v>
      </c>
    </row>
    <row r="23" customFormat="false" ht="12.8" hidden="false" customHeight="false" outlineLevel="0" collapsed="false">
      <c r="D23" s="0" t="n">
        <f aca="false">C24</f>
        <v>0</v>
      </c>
      <c r="E23" s="0" t="n">
        <f aca="false">D24</f>
        <v>0.0076833573985731</v>
      </c>
      <c r="F23" s="0" t="n">
        <f aca="false">E24</f>
        <v>0.0307334295942924</v>
      </c>
      <c r="G23" s="0" t="n">
        <f aca="false">F24</f>
        <v>0.0691502165871579</v>
      </c>
      <c r="H23" s="0" t="n">
        <f aca="false">G24</f>
        <v>0.12293371837717</v>
      </c>
      <c r="I23" s="0" t="n">
        <f aca="false">H24</f>
        <v>0.192083934964328</v>
      </c>
      <c r="J23" s="0" t="n">
        <f aca="false">I24</f>
        <v>0.276600866348632</v>
      </c>
      <c r="K23" s="0" t="n">
        <f aca="false">J24</f>
        <v>0.376484512530082</v>
      </c>
      <c r="L23" s="0" t="n">
        <f aca="false">K24</f>
        <v>0.491734873508679</v>
      </c>
      <c r="M23" s="0" t="n">
        <f aca="false">L24</f>
        <v>0.622351949284421</v>
      </c>
      <c r="N23" s="0" t="n">
        <f aca="false">M24</f>
        <v>0.693423005221228</v>
      </c>
      <c r="O23" s="0" t="n">
        <f aca="false">N24</f>
        <v>0.693423005221228</v>
      </c>
      <c r="P23" s="0" t="s">
        <v>147</v>
      </c>
    </row>
    <row r="24" customFormat="false" ht="12.8" hidden="false" customHeight="false" outlineLevel="0" collapsed="false">
      <c r="D24" s="0" t="n">
        <f aca="false">D16</f>
        <v>0.0076833573985731</v>
      </c>
      <c r="E24" s="0" t="n">
        <f aca="false">E16</f>
        <v>0.0307334295942924</v>
      </c>
      <c r="F24" s="0" t="n">
        <f aca="false">F16</f>
        <v>0.0691502165871579</v>
      </c>
      <c r="G24" s="0" t="n">
        <f aca="false">G16</f>
        <v>0.12293371837717</v>
      </c>
      <c r="H24" s="0" t="n">
        <f aca="false">H16</f>
        <v>0.192083934964328</v>
      </c>
      <c r="I24" s="0" t="n">
        <f aca="false">I16</f>
        <v>0.276600866348632</v>
      </c>
      <c r="J24" s="0" t="n">
        <f aca="false">J16</f>
        <v>0.376484512530082</v>
      </c>
      <c r="K24" s="0" t="n">
        <f aca="false">K16</f>
        <v>0.491734873508679</v>
      </c>
      <c r="L24" s="0" t="n">
        <f aca="false">L16</f>
        <v>0.622351949284421</v>
      </c>
      <c r="M24" s="0" t="n">
        <f aca="false">M16</f>
        <v>0.693423005221228</v>
      </c>
      <c r="N24" s="0" t="n">
        <f aca="false">N23</f>
        <v>0.693423005221228</v>
      </c>
      <c r="O24" s="0" t="n">
        <f aca="false">O23</f>
        <v>0.693423005221228</v>
      </c>
      <c r="P24" s="0" t="s">
        <v>148</v>
      </c>
    </row>
    <row r="25" customFormat="false" ht="12.8" hidden="false" customHeight="false" outlineLevel="0" collapsed="false">
      <c r="D25" s="0" t="n">
        <f aca="false">D19/D22</f>
        <v>0</v>
      </c>
      <c r="E25" s="0" t="n">
        <f aca="false">E19/E22</f>
        <v>0</v>
      </c>
      <c r="F25" s="0" t="n">
        <f aca="false">F19/F22</f>
        <v>0</v>
      </c>
      <c r="G25" s="0" t="n">
        <f aca="false">G19/G22</f>
        <v>0</v>
      </c>
      <c r="H25" s="0" t="n">
        <f aca="false">H19/H22</f>
        <v>0</v>
      </c>
      <c r="I25" s="0" t="n">
        <f aca="false">I19/I22</f>
        <v>0</v>
      </c>
      <c r="J25" s="0" t="n">
        <f aca="false">J19/J22</f>
        <v>0</v>
      </c>
      <c r="K25" s="0" t="n">
        <f aca="false">K19/K22</f>
        <v>0</v>
      </c>
      <c r="L25" s="0" t="n">
        <f aca="false">L19/L22</f>
        <v>1</v>
      </c>
      <c r="M25" s="0" t="n">
        <f aca="false">M19/M22</f>
        <v>0.999999999999926</v>
      </c>
      <c r="N25" s="1" t="s">
        <v>150</v>
      </c>
      <c r="O25" s="1" t="s">
        <v>150</v>
      </c>
      <c r="P25" s="0" t="s">
        <v>151</v>
      </c>
    </row>
    <row r="26" customFormat="false" ht="12.8" hidden="false" customHeight="false" outlineLevel="0" collapsed="false">
      <c r="D26" s="1" t="s">
        <v>150</v>
      </c>
      <c r="E26" s="0" t="n">
        <f aca="false">E20/E23</f>
        <v>0</v>
      </c>
      <c r="F26" s="0" t="n">
        <f aca="false">F20/F23</f>
        <v>0</v>
      </c>
      <c r="G26" s="0" t="n">
        <f aca="false">G20/G23</f>
        <v>0</v>
      </c>
      <c r="H26" s="0" t="n">
        <f aca="false">H20/H23</f>
        <v>0</v>
      </c>
      <c r="I26" s="0" t="n">
        <f aca="false">I20/I23</f>
        <v>0</v>
      </c>
      <c r="J26" s="0" t="n">
        <f aca="false">J20/J23</f>
        <v>0</v>
      </c>
      <c r="K26" s="0" t="n">
        <f aca="false">K20/K23</f>
        <v>0</v>
      </c>
      <c r="L26" s="0" t="n">
        <f aca="false">L20/L23</f>
        <v>0</v>
      </c>
      <c r="M26" s="0" t="n">
        <f aca="false">M20/M23</f>
        <v>1.05555555578632</v>
      </c>
      <c r="N26" s="0" t="n">
        <f aca="false">N20/N23</f>
        <v>1.04986149584487</v>
      </c>
      <c r="O26" s="0" t="n">
        <f aca="false">O20/O23</f>
        <v>1.04986149584487</v>
      </c>
      <c r="P26" s="0" t="s">
        <v>152</v>
      </c>
    </row>
    <row r="27" customFormat="false" ht="12.8" hidden="false" customHeight="false" outlineLevel="0" collapsed="false">
      <c r="D27" s="0" t="n">
        <f aca="false">D21/D24</f>
        <v>0</v>
      </c>
      <c r="E27" s="0" t="n">
        <f aca="false">E21/E24</f>
        <v>0</v>
      </c>
      <c r="F27" s="0" t="n">
        <f aca="false">F21/F24</f>
        <v>0</v>
      </c>
      <c r="G27" s="0" t="n">
        <f aca="false">G21/G24</f>
        <v>0</v>
      </c>
      <c r="H27" s="0" t="n">
        <f aca="false">H21/H24</f>
        <v>0</v>
      </c>
      <c r="I27" s="0" t="n">
        <f aca="false">I21/I24</f>
        <v>0</v>
      </c>
      <c r="J27" s="0" t="n">
        <f aca="false">J21/J24</f>
        <v>0</v>
      </c>
      <c r="K27" s="0" t="n">
        <f aca="false">K21/K24</f>
        <v>0</v>
      </c>
      <c r="L27" s="0" t="n">
        <f aca="false">L21/L24</f>
        <v>0</v>
      </c>
      <c r="M27" s="0" t="n">
        <f aca="false">M21/M24</f>
        <v>1.04986149605198</v>
      </c>
      <c r="N27" s="0" t="n">
        <f aca="false">N21/N24</f>
        <v>1.04986149584487</v>
      </c>
      <c r="O27" s="0" t="n">
        <f aca="false">O21/O24</f>
        <v>1.04986149584487</v>
      </c>
      <c r="P27" s="0" t="s">
        <v>153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423702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2015-03-08T19:04:55Z</dcterms:created>
  <dc:language>en-US</dc:language>
  <dcterms:modified xsi:type="dcterms:W3CDTF">2015-03-22T17:57:49Z</dcterms:modified>
  <cp:revision>698</cp:revision>
</cp:coreProperties>
</file>