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87.xml" ContentType="application/vnd.openxmlformats-officedocument.drawingml.chart+xml"/>
  <Override PartName="/xl/charts/chart185.xml" ContentType="application/vnd.openxmlformats-officedocument.drawingml.chart+xml"/>
  <Override PartName="/xl/charts/chart184.xml" ContentType="application/vnd.openxmlformats-officedocument.drawingml.chart+xml"/>
  <Override PartName="/xl/charts/chart180.xml" ContentType="application/vnd.openxmlformats-officedocument.drawingml.chart+xml"/>
  <Override PartName="/xl/charts/chart179.xml" ContentType="application/vnd.openxmlformats-officedocument.drawingml.chart+xml"/>
  <Override PartName="/xl/charts/chart181.xml" ContentType="application/vnd.openxmlformats-officedocument.drawingml.chart+xml"/>
  <Override PartName="/xl/charts/chart178.xml" ContentType="application/vnd.openxmlformats-officedocument.drawingml.chart+xml"/>
  <Override PartName="/xl/charts/chart177.xml" ContentType="application/vnd.openxmlformats-officedocument.drawingml.chart+xml"/>
  <Override PartName="/xl/charts/chart182.xml" ContentType="application/vnd.openxmlformats-officedocument.drawingml.chart+xml"/>
  <Override PartName="/xl/charts/chart176.xml" ContentType="application/vnd.openxmlformats-officedocument.drawingml.chart+xml"/>
  <Override PartName="/xl/charts/chart174.xml" ContentType="application/vnd.openxmlformats-officedocument.drawingml.chart+xml"/>
  <Override PartName="/xl/charts/chart186.xml" ContentType="application/vnd.openxmlformats-officedocument.drawingml.chart+xml"/>
  <Override PartName="/xl/charts/chart173.xml" ContentType="application/vnd.openxmlformats-officedocument.drawingml.chart+xml"/>
  <Override PartName="/xl/charts/chart172.xml" ContentType="application/vnd.openxmlformats-officedocument.drawingml.chart+xml"/>
  <Override PartName="/xl/charts/chart175.xml" ContentType="application/vnd.openxmlformats-officedocument.drawingml.chart+xml"/>
  <Override PartName="/xl/charts/chart171.xml" ContentType="application/vnd.openxmlformats-officedocument.drawingml.chart+xml"/>
  <Override PartName="/xl/charts/chart183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2" firstSheet="0" activeTab="4"/>
  </bookViews>
  <sheets>
    <sheet name="Problem_Setup" sheetId="1" state="visible" r:id="rId2"/>
    <sheet name="SS Rod Radial Profile_5" sheetId="2" state="visible" r:id="rId3"/>
    <sheet name="SS Rod Radial Profile_10" sheetId="3" state="visible" r:id="rId4"/>
    <sheet name="SS Rod Radial Profile_20" sheetId="4" state="visible" r:id="rId5"/>
    <sheet name="Fuel_Centerline_Temperature" sheetId="5" state="visible" r:id="rId6"/>
    <sheet name="Sheet6" sheetId="6" state="visible" r:id="rId7"/>
    <sheet name="Sheet8" sheetId="7" state="visible" r:id="rId8"/>
  </sheets>
  <definedNames>
    <definedName function="false" hidden="false" name="A_surf" vbProcedure="false">Problem_Setup!$D$13</definedName>
    <definedName function="false" hidden="false" name="cp_in" vbProcedure="false">Problem_Setup!$D$34</definedName>
    <definedName function="false" hidden="false" name="delta_clad" vbProcedure="false">Problem_Setup!$H$34</definedName>
    <definedName function="false" hidden="false" name="delta_fluid" vbProcedure="false">Problem_Setup!$H$35</definedName>
    <definedName function="false" hidden="false" name="delta_gap" vbProcedure="false">Problem_Setup!$H$33</definedName>
    <definedName function="false" hidden="false" name="dT_clad" vbProcedure="false">Problem_Setup!$H$34</definedName>
    <definedName function="false" hidden="false" name="dT_gap" vbProcedure="false">Problem_Setup!$H$34</definedName>
    <definedName function="false" hidden="false" name="dz" vbProcedure="false">Problem_Setup!$D$7</definedName>
    <definedName function="false" hidden="false" name="heat_gen" vbProcedure="false">Problem_Setup!$D$26</definedName>
    <definedName function="false" hidden="false" name="hgap" vbProcedure="false">Problem_Setup!$H$10</definedName>
    <definedName function="false" hidden="false" name="htc" vbProcedure="false">Problem_Setup!$H$23</definedName>
    <definedName function="false" hidden="false" name="k_clad" vbProcedure="false">Problem_Setup!$H$5</definedName>
    <definedName function="false" hidden="false" name="k_fuel" vbProcedure="false">Problem_Setup!$H$4</definedName>
    <definedName function="false" hidden="false" name="L_chan" vbProcedure="false">Problem_Setup!$D$6</definedName>
    <definedName function="false" hidden="false" name="M_dot" vbProcedure="false">Problem_Setup!$D$30</definedName>
    <definedName function="false" hidden="false" name="Naxial" vbProcedure="false">Problem_Setup!$D$5</definedName>
    <definedName function="false" hidden="false" name="q_dot" vbProcedure="false">Problem_Setup!$D$25</definedName>
    <definedName function="false" hidden="false" name="q_lin" vbProcedure="false">Problem_Setup!$D$23</definedName>
    <definedName function="false" hidden="false" name="Rho_fuel" vbProcedure="false">Problem_Setup!$H$6</definedName>
    <definedName function="false" hidden="false" name="R_fuel" vbProcedure="false">Problem_Setup!$D$9</definedName>
    <definedName function="false" hidden="false" name="R_rod" vbProcedure="false">Problem_Setup!$D$8</definedName>
    <definedName function="false" hidden="false" name="t_btu_kw" vbProcedure="false">Problem_Setup!$N$5</definedName>
    <definedName function="false" hidden="false" name="t_ft_m" vbProcedure="false">Problem_Setup!$N$6</definedName>
    <definedName function="false" hidden="false" name="t_gap" vbProcedure="false">Problem_Setup!$H$34</definedName>
    <definedName function="false" hidden="false" name="t_htc" vbProcedure="false">Problem_Setup!$N$8</definedName>
    <definedName function="false" hidden="false" name="t_in" vbProcedure="false">Problem_Setup!$D$32</definedName>
    <definedName function="false" hidden="false" name="t_lbm_kg" vbProcedure="false">Problem_Setup!$N$9</definedName>
    <definedName function="false" hidden="false" name="t_R_K" vbProcedure="false">Problem_Setup!$N$7</definedName>
    <definedName function="false" hidden="false" name="vol_fuel" vbProcedure="false">Problem_Setup!$D$17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<sst xmlns="http://schemas.openxmlformats.org/spreadsheetml/2006/main" count="470" uniqueCount="155">
  <si>
    <t>x</t>
  </si>
  <si>
    <t>X/1</t>
  </si>
  <si>
    <t>Geometry</t>
  </si>
  <si>
    <t>Solid  Properties</t>
  </si>
  <si>
    <t>Unit Conversions</t>
  </si>
  <si>
    <t>Nradial</t>
  </si>
  <si>
    <t>k_fuel</t>
  </si>
  <si>
    <t>W/m-k</t>
  </si>
  <si>
    <t>FROM</t>
  </si>
  <si>
    <t>TO</t>
  </si>
  <si>
    <t>TO/FROM</t>
  </si>
  <si>
    <t>Naxial</t>
  </si>
  <si>
    <t>k_clad</t>
  </si>
  <si>
    <t>BTU/sec</t>
  </si>
  <si>
    <t>KW</t>
  </si>
  <si>
    <t>L_chan</t>
  </si>
  <si>
    <t>m</t>
  </si>
  <si>
    <t>rho_fuel</t>
  </si>
  <si>
    <t>kg/m^3</t>
  </si>
  <si>
    <t>ft</t>
  </si>
  <si>
    <t>dz</t>
  </si>
  <si>
    <t>rho_clad</t>
  </si>
  <si>
    <t>R</t>
  </si>
  <si>
    <t>K</t>
  </si>
  <si>
    <t>r_rod</t>
  </si>
  <si>
    <t>cm</t>
  </si>
  <si>
    <t>cp_fuel</t>
  </si>
  <si>
    <t>kJ/kg-K</t>
  </si>
  <si>
    <t>BTU/hr-ft^2-F</t>
  </si>
  <si>
    <t>W/m^2-K</t>
  </si>
  <si>
    <t>r_fuel</t>
  </si>
  <si>
    <t>cp_clad</t>
  </si>
  <si>
    <t>lbm</t>
  </si>
  <si>
    <t>kg</t>
  </si>
  <si>
    <t>t_clad</t>
  </si>
  <si>
    <t>hgap</t>
  </si>
  <si>
    <t>t_gap</t>
  </si>
  <si>
    <t>pitch</t>
  </si>
  <si>
    <t>A_surf</t>
  </si>
  <si>
    <t>m^2</t>
  </si>
  <si>
    <t>A_mom</t>
  </si>
  <si>
    <t>wett. Perimeter</t>
  </si>
  <si>
    <t>Dittus-Boetler</t>
  </si>
  <si>
    <t>hyd. Diameter</t>
  </si>
  <si>
    <t>kl</t>
  </si>
  <si>
    <t>btu/hr-ft-F</t>
  </si>
  <si>
    <t>volume fuel</t>
  </si>
  <si>
    <t>m^3</t>
  </si>
  <si>
    <t>De</t>
  </si>
  <si>
    <t>Ft^2</t>
  </si>
  <si>
    <t>mass fuel</t>
  </si>
  <si>
    <t>L/D</t>
  </si>
  <si>
    <t>L/D&gt;10</t>
  </si>
  <si>
    <t>Nu</t>
  </si>
  <si>
    <t>Re</t>
  </si>
  <si>
    <t>Re&gt;10000</t>
  </si>
  <si>
    <t>Pr</t>
  </si>
  <si>
    <t>0.6&gt;Pr&gt;6.1</t>
  </si>
  <si>
    <t>Rod Power</t>
  </si>
  <si>
    <t>htc</t>
  </si>
  <si>
    <t>btu/sec-ft^2-F</t>
  </si>
  <si>
    <t>BTU/sec/ft</t>
  </si>
  <si>
    <t>q'</t>
  </si>
  <si>
    <t>kW/m</t>
  </si>
  <si>
    <t>q</t>
  </si>
  <si>
    <t>kW</t>
  </si>
  <si>
    <t>Tw-Tf</t>
  </si>
  <si>
    <t>BTU/sec/ft^3</t>
  </si>
  <si>
    <t>q_dot</t>
  </si>
  <si>
    <t>kW/m^3</t>
  </si>
  <si>
    <t>BTU/sec/m^2</t>
  </si>
  <si>
    <t>q''</t>
  </si>
  <si>
    <t>kW/m^2</t>
  </si>
  <si>
    <t>BTU/sec/level</t>
  </si>
  <si>
    <t>Thermal Resistances</t>
  </si>
  <si>
    <t>R_gap</t>
  </si>
  <si>
    <t>K/W</t>
  </si>
  <si>
    <t>Fluid Condtions</t>
  </si>
  <si>
    <t>R_clad</t>
  </si>
  <si>
    <t>m_dot</t>
  </si>
  <si>
    <t>kg/sec</t>
  </si>
  <si>
    <t>R_fluid</t>
  </si>
  <si>
    <t>Pref</t>
  </si>
  <si>
    <t>Mpa</t>
  </si>
  <si>
    <t>T_in</t>
  </si>
  <si>
    <t>C</t>
  </si>
  <si>
    <t>Temperature Drops</t>
  </si>
  <si>
    <t>h_in</t>
  </si>
  <si>
    <t>kJ/kg</t>
  </si>
  <si>
    <t>T_gap</t>
  </si>
  <si>
    <t>cp_in</t>
  </si>
  <si>
    <t>kJ/kg-k</t>
  </si>
  <si>
    <t>T_clad</t>
  </si>
  <si>
    <t>kl_in</t>
  </si>
  <si>
    <t>W/m-K</t>
  </si>
  <si>
    <t>T_fluid</t>
  </si>
  <si>
    <t>mu_in</t>
  </si>
  <si>
    <t>Pa-s</t>
  </si>
  <si>
    <t>cp_bar</t>
  </si>
  <si>
    <t>T_out</t>
  </si>
  <si>
    <t>cp_out</t>
  </si>
  <si>
    <t>kl_out</t>
  </si>
  <si>
    <t>mu_out</t>
  </si>
  <si>
    <t>AXIAL LEVEL 3 5 Radial Nodes</t>
  </si>
  <si>
    <t>Semi-implicit</t>
  </si>
  <si>
    <t>implicit</t>
  </si>
  <si>
    <t>steady state</t>
  </si>
  <si>
    <t>enthalpy</t>
  </si>
  <si>
    <t>change</t>
  </si>
  <si>
    <t>BTU/lbm</t>
  </si>
  <si>
    <t>power</t>
  </si>
  <si>
    <t>Height</t>
  </si>
  <si>
    <t>Balance Checks</t>
  </si>
  <si>
    <t>Raw Data</t>
  </si>
  <si>
    <t>dr [ft]</t>
  </si>
  <si>
    <t>FLUID</t>
  </si>
  <si>
    <t>r [ft]</t>
  </si>
  <si>
    <t>T(r) [F]</t>
  </si>
  <si>
    <t>Semi-implicit Trans</t>
  </si>
  <si>
    <t>Implicit SS</t>
  </si>
  <si>
    <t>Implicit Trans</t>
  </si>
  <si>
    <t>Relative Temperature Difference</t>
  </si>
  <si>
    <t>r [cm]</t>
  </si>
  <si>
    <t>Difference</t>
  </si>
  <si>
    <t>T(r)-T(s) [C]</t>
  </si>
  <si>
    <t>Analytical</t>
  </si>
  <si>
    <t>Absolute Temperature Difference</t>
  </si>
  <si>
    <t>Relative Difference</t>
  </si>
  <si>
    <t>DATA</t>
  </si>
  <si>
    <t>AXIAL LEVEL 3 10 Radial Nodes</t>
  </si>
  <si>
    <t>AXIAL LEVEL 3 20 Radial Nodes</t>
  </si>
  <si>
    <t>Axial Centerline Temperature [K]</t>
  </si>
  <si>
    <t>Fuel Centerline Temperature Error [%]</t>
  </si>
  <si>
    <t>NR</t>
  </si>
  <si>
    <t>EXACT</t>
  </si>
  <si>
    <t>Order of Accuracies</t>
  </si>
  <si>
    <t>r</t>
  </si>
  <si>
    <t>rb</t>
  </si>
  <si>
    <t>A</t>
  </si>
  <si>
    <t>A_calc</t>
  </si>
  <si>
    <t>A_total</t>
  </si>
  <si>
    <t>NODE 10</t>
  </si>
  <si>
    <t>CTF</t>
  </si>
  <si>
    <t>A_i</t>
  </si>
  <si>
    <t>q'''</t>
  </si>
  <si>
    <t>q_region</t>
  </si>
  <si>
    <t>q_total</t>
  </si>
  <si>
    <t>qgen_i</t>
  </si>
  <si>
    <t>q_left</t>
  </si>
  <si>
    <t>q_right</t>
  </si>
  <si>
    <t>q_gen_exp</t>
  </si>
  <si>
    <t>-</t>
  </si>
  <si>
    <t>q_gen_ratio</t>
  </si>
  <si>
    <t>q_left_ratio</t>
  </si>
  <si>
    <t>q_right_ratio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</si>
</sst>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"/>
    <numFmt numFmtId="166" formatCode="0.000"/>
    <numFmt numFmtId="167" formatCode="0.00"/>
    <numFmt numFmtId="168" formatCode="0.00000"/>
    <numFmt numFmtId="169" formatCode="0.0000"/>
    <numFmt numFmtId="170" formatCode="0.00E+000"/>
    <numFmt numFmtId="171" formatCode="0.0000E+00"/>
    <numFmt numFmtId="172" formatCode="0.000000E+00"/>
    <numFmt numFmtId="173" formatCode="0.00000000"/>
    <numFmt numFmtId="174" formatCode="0.00%"/>
    <numFmt numFmtId="175" formatCode="0.000%"/>
    <numFmt numFmtId="176" formatCode="0.0000%"/>
    <numFmt numFmtId="177" formatCode="0.00000000%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Monospace"/>
      <family val="0"/>
      <charset val="1"/>
    </font>
    <font>
      <b val="true"/>
      <sz val="15"/>
      <name val="Arial"/>
      <family val="2"/>
      <charset val="1"/>
    </font>
    <font>
      <b val="true"/>
      <sz val="13"/>
      <name val="Arial"/>
      <family val="2"/>
    </font>
    <font>
      <sz val="10"/>
      <name val="Arial"/>
      <family val="2"/>
    </font>
    <font>
      <b val="true"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Profile_5'!$B$42:$B$42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xVal>
          <c:yVal>
            <c:numRef>
              <c:f>'SS Rod Radial Profile_5'!$C$42:$J$42</c:f>
              <c:numCache>
                <c:formatCode>General</c:formatCode>
                <c:ptCount val="8"/>
                <c:pt idx="0">
                  <c:v>92.3834112916388</c:v>
                </c:pt>
                <c:pt idx="1">
                  <c:v>90.921740965468</c:v>
                </c:pt>
                <c:pt idx="2">
                  <c:v>85.0750596607846</c:v>
                </c:pt>
                <c:pt idx="3">
                  <c:v>73.3816970514178</c:v>
                </c:pt>
                <c:pt idx="4">
                  <c:v>55.8416531373676</c:v>
                </c:pt>
                <c:pt idx="5">
                  <c:v>33.1857630817195</c:v>
                </c:pt>
                <c:pt idx="6">
                  <c:v>5.81405867843346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Profile_5'!$B$43:$B$43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Profile_5'!$C$43:$J$43</c:f>
              <c:numCache>
                <c:formatCode>General</c:formatCode>
                <c:ptCount val="8"/>
                <c:pt idx="0">
                  <c:v>89.1320761111112</c:v>
                </c:pt>
                <c:pt idx="1">
                  <c:v>89.1320761111111</c:v>
                </c:pt>
                <c:pt idx="2">
                  <c:v>84.0221816666667</c:v>
                </c:pt>
                <c:pt idx="3">
                  <c:v>72.699275</c:v>
                </c:pt>
                <c:pt idx="4">
                  <c:v>55.4051805555556</c:v>
                </c:pt>
                <c:pt idx="5">
                  <c:v>32.8503438888889</c:v>
                </c:pt>
                <c:pt idx="6">
                  <c:v>5.47989166666664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Profile_5'!$B$44:$B$44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Profile_5'!$C$44:$J$44</c:f>
              <c:numCache>
                <c:formatCode>General</c:formatCode>
                <c:ptCount val="8"/>
                <c:pt idx="0">
                  <c:v>89.136893888889</c:v>
                </c:pt>
                <c:pt idx="1">
                  <c:v>89.1368938888889</c:v>
                </c:pt>
                <c:pt idx="2">
                  <c:v>84.0266405555555</c:v>
                </c:pt>
                <c:pt idx="3">
                  <c:v>72.7029811111111</c:v>
                </c:pt>
                <c:pt idx="4">
                  <c:v>55.40785</c:v>
                </c:pt>
                <c:pt idx="5">
                  <c:v>32.8518533333333</c:v>
                </c:pt>
                <c:pt idx="6">
                  <c:v>5.48014888888885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Profile_5'!$B$45:$B$45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Profile_5'!$C$45:$J$45</c:f>
              <c:numCache>
                <c:formatCode>General</c:formatCode>
                <c:ptCount val="8"/>
                <c:pt idx="0">
                  <c:v>89.1091150000001</c:v>
                </c:pt>
                <c:pt idx="1">
                  <c:v>89.109115</c:v>
                </c:pt>
                <c:pt idx="2">
                  <c:v>84.00093</c:v>
                </c:pt>
                <c:pt idx="3">
                  <c:v>72.6816094444445</c:v>
                </c:pt>
                <c:pt idx="4">
                  <c:v>55.3924594444445</c:v>
                </c:pt>
                <c:pt idx="5">
                  <c:v>32.8431511111112</c:v>
                </c:pt>
                <c:pt idx="6">
                  <c:v>5.47866611111115</c:v>
                </c:pt>
                <c:pt idx="7">
                  <c:v>0</c:v>
                </c:pt>
              </c:numCache>
            </c:numRef>
          </c:yVal>
        </c:ser>
        <c:axId val="31079935"/>
        <c:axId val="7781982"/>
      </c:scatterChart>
      <c:valAx>
        <c:axId val="31079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81982"/>
        <c:crossesAt val="0"/>
      </c:valAx>
      <c:valAx>
        <c:axId val="77819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07993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Profile_5'!$L$50:$L$50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Profile_5'!$D$41:$I$41</c:f>
              <c:numCache>
                <c:formatCode>General</c:formatCode>
                <c:ptCount val="6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numCache>
            </c:numRef>
          </c:xVal>
          <c:yVal>
            <c:numRef>
              <c:f>'SS Rod Radial Profile_5'!$M$50:$W$50</c:f>
              <c:numCache>
                <c:formatCode>General</c:formatCode>
                <c:ptCount val="11"/>
                <c:pt idx="0">
                  <c:v>-0.00749207955718323</c:v>
                </c:pt>
                <c:pt idx="1">
                  <c:v>-0.00373196003196221</c:v>
                </c:pt>
                <c:pt idx="2">
                  <c:v>-0.00185032198530345</c:v>
                </c:pt>
                <c:pt idx="3">
                  <c:v>-0.000903156779231562</c:v>
                </c:pt>
                <c:pt idx="4">
                  <c:v>-0.00024708717810673</c:v>
                </c:pt>
                <c:pt idx="5">
                  <c:v>-0.469003473542659</c:v>
                </c:pt>
                <c:pt idx="6">
                  <c:v>-0.469003473542658</c:v>
                </c:pt>
                <c:pt idx="7">
                  <c:v>-0.469319543319795</c:v>
                </c:pt>
                <c:pt idx="8">
                  <c:v>-0.470049753350868</c:v>
                </c:pt>
                <c:pt idx="9">
                  <c:v>4.38632239170874E-005</c:v>
                </c:pt>
                <c:pt idx="10">
                  <c:v>4.38632239170874E-005</c:v>
                </c:pt>
              </c:numCache>
            </c:numRef>
          </c:yVal>
        </c:ser>
        <c:ser>
          <c:idx val="1"/>
          <c:order val="1"/>
          <c:tx>
            <c:strRef>
              <c:f>'SS Rod Radial Profile_5'!$L$52:$L$52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'SS Rod Radial Profile_5'!$D$41:$I$41</c:f>
              <c:numCache>
                <c:formatCode>General</c:formatCode>
                <c:ptCount val="6"/>
                <c:pt idx="0">
                  <c:v>0.0643624305720022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0.321812152860011</c:v>
                </c:pt>
                <c:pt idx="4">
                  <c:v>0.4096</c:v>
                </c:pt>
                <c:pt idx="5">
                  <c:v>0.418</c:v>
                </c:pt>
              </c:numCache>
            </c:numRef>
          </c:xVal>
          <c:yVal>
            <c:numRef>
              <c:f>'SS Rod Radial Profile_5'!$M$52:$W$52</c:f>
              <c:numCache>
                <c:formatCode>General</c:formatCode>
                <c:ptCount val="11"/>
                <c:pt idx="0">
                  <c:v>-0.00755443339421825</c:v>
                </c:pt>
                <c:pt idx="1">
                  <c:v>-0.00379455009671419</c:v>
                </c:pt>
                <c:pt idx="2">
                  <c:v>-0.00190937625013633</c:v>
                </c:pt>
                <c:pt idx="3">
                  <c:v>-0.000954348577171029</c:v>
                </c:pt>
                <c:pt idx="4">
                  <c:v>-0.000286741741709706</c:v>
                </c:pt>
                <c:pt idx="5">
                  <c:v>-0.46903683314634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1.83207806603672E-005</c:v>
                </c:pt>
                <c:pt idx="10">
                  <c:v>1.83207806603672E-005</c:v>
                </c:pt>
              </c:numCache>
            </c:numRef>
          </c:yVal>
        </c:ser>
        <c:ser>
          <c:idx val="2"/>
          <c:order val="2"/>
          <c:tx>
            <c:strRef>
              <c:f>'SS Rod Radial Profile_5'!$L$51:$L$51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'SS Rod Radial Profile_5'!$D$41:$I$41</c:f>
              <c:numCache>
                <c:formatCode>General</c:formatCode>
                <c:ptCount val="6"/>
                <c:pt idx="0">
                  <c:v>0.0643624305720022</c:v>
                </c:pt>
                <c:pt idx="1">
                  <c:v>0.143918769956108</c:v>
                </c:pt>
                <c:pt idx="2">
                  <c:v>0.232062043640845</c:v>
                </c:pt>
                <c:pt idx="3">
                  <c:v>0.321812152860011</c:v>
                </c:pt>
                <c:pt idx="4">
                  <c:v>0.4096</c:v>
                </c:pt>
                <c:pt idx="5">
                  <c:v>0.418</c:v>
                </c:pt>
              </c:numCache>
            </c:numRef>
          </c:xVal>
          <c:yVal>
            <c:numRef>
              <c:f>'SS Rod Radial Profile_5'!$M$51:$W$51</c:f>
              <c:numCache>
                <c:formatCode>General</c:formatCode>
                <c:ptCount val="11"/>
                <c:pt idx="0">
                  <c:v>-0.0074789968278999</c:v>
                </c:pt>
                <c:pt idx="1">
                  <c:v>-0.00371882773871591</c:v>
                </c:pt>
                <c:pt idx="2">
                  <c:v>-0.00183793214028741</c:v>
                </c:pt>
                <c:pt idx="3">
                  <c:v>-0.000892417589323429</c:v>
                </c:pt>
                <c:pt idx="4">
                  <c:v>-0.000238766609997901</c:v>
                </c:pt>
                <c:pt idx="5">
                  <c:v>-0.468996474219366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4.92226665654152E-005</c:v>
                </c:pt>
                <c:pt idx="10">
                  <c:v>4.92226665654152E-005</c:v>
                </c:pt>
              </c:numCache>
            </c:numRef>
          </c:yVal>
        </c:ser>
        <c:axId val="22654219"/>
        <c:axId val="32926558"/>
      </c:scatterChart>
      <c:valAx>
        <c:axId val="226542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926558"/>
        <c:crossesAt val="0"/>
      </c:valAx>
      <c:valAx>
        <c:axId val="3292655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265421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Profile_5'!$B$49:$B$49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'SS Rod Radial Profile_5'!$C$48:$J$48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xVal>
          <c:yVal>
            <c:numRef>
              <c:f>'SS Rod Radial Profile_5'!$C$49:$J$49</c:f>
              <c:numCache>
                <c:formatCode>General</c:formatCode>
                <c:ptCount val="8"/>
                <c:pt idx="0">
                  <c:v>387.279026947385</c:v>
                </c:pt>
                <c:pt idx="1">
                  <c:v>385.817356621214</c:v>
                </c:pt>
                <c:pt idx="2">
                  <c:v>379.970675316531</c:v>
                </c:pt>
                <c:pt idx="3">
                  <c:v>368.277312707164</c:v>
                </c:pt>
                <c:pt idx="4">
                  <c:v>350.737268793114</c:v>
                </c:pt>
                <c:pt idx="5">
                  <c:v>328.081378737466</c:v>
                </c:pt>
                <c:pt idx="6">
                  <c:v>300.70967433418</c:v>
                </c:pt>
                <c:pt idx="7">
                  <c:v>294.895615655746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Profile_5'!$B$50:$B$50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Profile_5'!$C$48:$J$48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Profile_5'!$C$50:$J$50</c:f>
              <c:numCache>
                <c:formatCode>General</c:formatCode>
                <c:ptCount val="8"/>
                <c:pt idx="0">
                  <c:v>384.377501666667</c:v>
                </c:pt>
                <c:pt idx="1">
                  <c:v>384.377501666667</c:v>
                </c:pt>
                <c:pt idx="2">
                  <c:v>379.267607222222</c:v>
                </c:pt>
                <c:pt idx="3">
                  <c:v>367.944700555556</c:v>
                </c:pt>
                <c:pt idx="4">
                  <c:v>350.650606111111</c:v>
                </c:pt>
                <c:pt idx="5">
                  <c:v>328.095769444444</c:v>
                </c:pt>
                <c:pt idx="6">
                  <c:v>300.725317222222</c:v>
                </c:pt>
                <c:pt idx="7">
                  <c:v>295.245425555556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Profile_5'!$B$51:$B$51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Profile_5'!$C$48:$J$48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Profile_5'!$C$51:$J$51</c:f>
              <c:numCache>
                <c:formatCode>General</c:formatCode>
                <c:ptCount val="8"/>
                <c:pt idx="0">
                  <c:v>384.382568333333</c:v>
                </c:pt>
                <c:pt idx="1">
                  <c:v>384.382568333333</c:v>
                </c:pt>
                <c:pt idx="2">
                  <c:v>379.272315</c:v>
                </c:pt>
                <c:pt idx="3">
                  <c:v>367.948655555556</c:v>
                </c:pt>
                <c:pt idx="4">
                  <c:v>350.653524444444</c:v>
                </c:pt>
                <c:pt idx="5">
                  <c:v>328.097527777778</c:v>
                </c:pt>
                <c:pt idx="6">
                  <c:v>300.725823333333</c:v>
                </c:pt>
                <c:pt idx="7">
                  <c:v>295.245674444444</c:v>
                </c:pt>
              </c:numCache>
            </c:numRef>
          </c:yVal>
        </c:ser>
        <c:axId val="18603952"/>
        <c:axId val="66604696"/>
      </c:scatterChart>
      <c:valAx>
        <c:axId val="1860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604696"/>
        <c:crossesAt val="0"/>
      </c:valAx>
      <c:valAx>
        <c:axId val="66604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860395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Profile_5'!$B$42:$B$42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</c:numCache>
            </c:numRef>
          </c:xVal>
          <c:yVal>
            <c:numRef>
              <c:f>'SS Rod Radial Profile_5'!$C$42:$J$42</c:f>
              <c:numCache>
                <c:formatCode>General</c:formatCode>
                <c:ptCount val="8"/>
                <c:pt idx="0">
                  <c:v>92.3834112916388</c:v>
                </c:pt>
                <c:pt idx="1">
                  <c:v>90.921740965468</c:v>
                </c:pt>
                <c:pt idx="2">
                  <c:v>85.0750596607846</c:v>
                </c:pt>
                <c:pt idx="3">
                  <c:v>73.3816970514178</c:v>
                </c:pt>
                <c:pt idx="4">
                  <c:v>55.8416531373676</c:v>
                </c:pt>
                <c:pt idx="5">
                  <c:v>33.1857630817195</c:v>
                </c:pt>
                <c:pt idx="6">
                  <c:v>5.81405867843346</c:v>
                </c:pt>
                <c:pt idx="7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Profile_5'!$B$43:$B$43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Profile_5'!$C$43:$J$43</c:f>
              <c:numCache>
                <c:formatCode>General</c:formatCode>
                <c:ptCount val="8"/>
                <c:pt idx="0">
                  <c:v>89.1320761111112</c:v>
                </c:pt>
                <c:pt idx="1">
                  <c:v>89.1320761111111</c:v>
                </c:pt>
                <c:pt idx="2">
                  <c:v>84.0221816666667</c:v>
                </c:pt>
                <c:pt idx="3">
                  <c:v>72.699275</c:v>
                </c:pt>
                <c:pt idx="4">
                  <c:v>55.4051805555556</c:v>
                </c:pt>
                <c:pt idx="5">
                  <c:v>32.8503438888889</c:v>
                </c:pt>
                <c:pt idx="6">
                  <c:v>5.47989166666664</c:v>
                </c:pt>
                <c:pt idx="7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Profile_5'!$B$44:$B$44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Profile_5'!$C$44:$J$44</c:f>
              <c:numCache>
                <c:formatCode>General</c:formatCode>
                <c:ptCount val="8"/>
                <c:pt idx="0">
                  <c:v>89.136893888889</c:v>
                </c:pt>
                <c:pt idx="1">
                  <c:v>89.1368938888889</c:v>
                </c:pt>
                <c:pt idx="2">
                  <c:v>84.0266405555555</c:v>
                </c:pt>
                <c:pt idx="3">
                  <c:v>72.7029811111111</c:v>
                </c:pt>
                <c:pt idx="4">
                  <c:v>55.40785</c:v>
                </c:pt>
                <c:pt idx="5">
                  <c:v>32.8518533333333</c:v>
                </c:pt>
                <c:pt idx="6">
                  <c:v>5.48014888888885</c:v>
                </c:pt>
                <c:pt idx="7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Profile_5'!$B$45:$B$45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Profile_5'!$C$41:$J$41</c:f>
              <c:numCache>
                <c:formatCode>General</c:formatCode>
                <c:ptCount val="8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  <c:pt idx="7">
                  <c:v>0.475</c:v>
                </c:pt>
              </c:numCache>
            </c:numRef>
          </c:xVal>
          <c:yVal>
            <c:numRef>
              <c:f>'SS Rod Radial Profile_5'!$C$45:$J$45</c:f>
              <c:numCache>
                <c:formatCode>General</c:formatCode>
                <c:ptCount val="8"/>
                <c:pt idx="0">
                  <c:v>89.1091150000001</c:v>
                </c:pt>
                <c:pt idx="1">
                  <c:v>89.109115</c:v>
                </c:pt>
                <c:pt idx="2">
                  <c:v>84.00093</c:v>
                </c:pt>
                <c:pt idx="3">
                  <c:v>72.6816094444445</c:v>
                </c:pt>
                <c:pt idx="4">
                  <c:v>55.3924594444445</c:v>
                </c:pt>
                <c:pt idx="5">
                  <c:v>32.8431511111112</c:v>
                </c:pt>
                <c:pt idx="6">
                  <c:v>5.47866611111115</c:v>
                </c:pt>
                <c:pt idx="7">
                  <c:v>0</c:v>
                </c:pt>
              </c:numCache>
            </c:numRef>
          </c:yVal>
        </c:ser>
        <c:axId val="21073792"/>
        <c:axId val="12656762"/>
      </c:scatterChart>
      <c:valAx>
        <c:axId val="2107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56762"/>
        <c:crossesAt val="0"/>
      </c:valAx>
      <c:valAx>
        <c:axId val="126567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10737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Profile_5'!$L$42:$L$42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Profile_5'!$C$41:$I$41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xVal>
          <c:yVal>
            <c:numRef>
              <c:f>'SS Rod Radial Profile_5'!$M$42:$Y$42</c:f>
              <c:numCache>
                <c:formatCode>General</c:formatCode>
                <c:ptCount val="13"/>
                <c:pt idx="0">
                  <c:v>-3.25133518052762</c:v>
                </c:pt>
                <c:pt idx="1">
                  <c:v>-1.78966485435687</c:v>
                </c:pt>
                <c:pt idx="2">
                  <c:v>-1.05287799411792</c:v>
                </c:pt>
                <c:pt idx="3">
                  <c:v>-0.682422051417788</c:v>
                </c:pt>
                <c:pt idx="4">
                  <c:v>-0.436472581812055</c:v>
                </c:pt>
                <c:pt idx="5">
                  <c:v>89.1320761111112</c:v>
                </c:pt>
                <c:pt idx="6">
                  <c:v>89.1320761111111</c:v>
                </c:pt>
                <c:pt idx="7">
                  <c:v>84.0221816666667</c:v>
                </c:pt>
                <c:pt idx="8">
                  <c:v>72.699275</c:v>
                </c:pt>
                <c:pt idx="9">
                  <c:v>-0.335419192830585</c:v>
                </c:pt>
                <c:pt idx="10">
                  <c:v>-0.335419192830585</c:v>
                </c:pt>
                <c:pt idx="11">
                  <c:v>-0.334167011766821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Profile_5'!$L$43:$L$43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'SS Rod Radial Profile_5'!$C$41:$I$41</c:f>
              <c:numCache>
                <c:formatCode>General</c:formatCode>
                <c:ptCount val="7"/>
                <c:pt idx="0">
                  <c:v>0</c:v>
                </c:pt>
                <c:pt idx="1">
                  <c:v>0.0643624305720022</c:v>
                </c:pt>
                <c:pt idx="2">
                  <c:v>0.143918769956108</c:v>
                </c:pt>
                <c:pt idx="3">
                  <c:v>0.232062043640845</c:v>
                </c:pt>
                <c:pt idx="4">
                  <c:v>0.321812152860011</c:v>
                </c:pt>
                <c:pt idx="5">
                  <c:v>0.4096</c:v>
                </c:pt>
                <c:pt idx="6">
                  <c:v>0.418</c:v>
                </c:pt>
              </c:numCache>
            </c:numRef>
          </c:xVal>
          <c:yVal>
            <c:numRef>
              <c:f>'SS Rod Radial Profile_5'!$M$43:$Y$43</c:f>
              <c:numCache>
                <c:formatCode>General</c:formatCode>
                <c:ptCount val="13"/>
                <c:pt idx="0">
                  <c:v>-3.24651740274982</c:v>
                </c:pt>
                <c:pt idx="1">
                  <c:v>-1.78484707657907</c:v>
                </c:pt>
                <c:pt idx="2">
                  <c:v>-1.04841910522904</c:v>
                </c:pt>
                <c:pt idx="3">
                  <c:v>-0.678715940306688</c:v>
                </c:pt>
                <c:pt idx="4">
                  <c:v>-0.433803137367654</c:v>
                </c:pt>
                <c:pt idx="5">
                  <c:v>89.136893888889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>-0.333909748386162</c:v>
                </c:pt>
                <c:pt idx="10">
                  <c:v>-0.333909748386162</c:v>
                </c:pt>
                <c:pt idx="11">
                  <c:v>-0.333909789544617</c:v>
                </c:pt>
                <c:pt idx="12">
                  <c:v>0</c:v>
                </c:pt>
              </c:numCache>
            </c:numRef>
          </c:yVal>
        </c:ser>
        <c:axId val="74978092"/>
        <c:axId val="69500959"/>
      </c:scatterChart>
      <c:valAx>
        <c:axId val="749780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9500959"/>
        <c:crossesAt val="0"/>
      </c:valAx>
      <c:valAx>
        <c:axId val="695009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97809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Profile_10'!$Q$50:$Q$50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Profile_10'!$E$41:$M$41</c:f>
              <c:numCache>
                <c:formatCode>General</c:formatCod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numCache>
            </c:numRef>
          </c:xVal>
          <c:yVal>
            <c:numRef>
              <c:f>'SS Rod Radial Profile_10'!$R$50:$AB$50</c:f>
              <c:numCache>
                <c:formatCode>General</c:formatCode>
                <c:ptCount val="11"/>
                <c:pt idx="0">
                  <c:v>-0.00200075169501101</c:v>
                </c:pt>
                <c:pt idx="1">
                  <c:v>-0.00115488598767959</c:v>
                </c:pt>
                <c:pt idx="2">
                  <c:v>-0.000730105600203698</c:v>
                </c:pt>
                <c:pt idx="3">
                  <c:v>-0.000518017859714814</c:v>
                </c:pt>
                <c:pt idx="4">
                  <c:v>-0.000377661586375412</c:v>
                </c:pt>
                <c:pt idx="5">
                  <c:v>-0.000272058178317179</c:v>
                </c:pt>
                <c:pt idx="6">
                  <c:v>-0.000186389213472855</c:v>
                </c:pt>
                <c:pt idx="7">
                  <c:v>-0.000113128609682582</c:v>
                </c:pt>
                <c:pt idx="8">
                  <c:v>-4.7824274804857E-005</c:v>
                </c:pt>
                <c:pt idx="9">
                  <c:v>1.24838413104731E-005</c:v>
                </c:pt>
                <c:pt idx="10">
                  <c:v>4.329933942978E-005</c:v>
                </c:pt>
              </c:numCache>
            </c:numRef>
          </c:yVal>
        </c:ser>
        <c:ser>
          <c:idx val="1"/>
          <c:order val="1"/>
          <c:tx>
            <c:strRef>
              <c:f>'SS Rod Radial Profile_10'!$Q$51:$Q$51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'SS Rod Radial Profile_10'!$E$41:$M$41</c:f>
              <c:numCache>
                <c:formatCode>General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Profile_10'!$R$51:$AB$51</c:f>
              <c:numCache>
                <c:formatCode>General</c:formatCode>
                <c:ptCount val="11"/>
                <c:pt idx="0">
                  <c:v>-0.0019860780943707</c:v>
                </c:pt>
                <c:pt idx="1">
                  <c:v>-0.00114019995026079</c:v>
                </c:pt>
                <c:pt idx="2">
                  <c:v>-0.00071560298289789</c:v>
                </c:pt>
                <c:pt idx="3">
                  <c:v>-0.000503926465393212</c:v>
                </c:pt>
                <c:pt idx="4">
                  <c:v>-0.000364194768668034</c:v>
                </c:pt>
                <c:pt idx="5">
                  <c:v>-0.000259420312891076</c:v>
                </c:pt>
                <c:pt idx="6">
                  <c:v>-0.000174772065872284</c:v>
                </c:pt>
                <c:pt idx="7">
                  <c:v>-0.000102710069285246</c:v>
                </c:pt>
                <c:pt idx="8">
                  <c:v>-3.87680367488031E-005</c:v>
                </c:pt>
                <c:pt idx="9">
                  <c:v>2.00275438479794E-005</c:v>
                </c:pt>
                <c:pt idx="10">
                  <c:v>4.92226665654152E-005</c:v>
                </c:pt>
              </c:numCache>
            </c:numRef>
          </c:yVal>
        </c:ser>
        <c:ser>
          <c:idx val="2"/>
          <c:order val="2"/>
          <c:tx>
            <c:strRef>
              <c:f>'SS Rod Radial Profile_10'!$Q$52:$Q$52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'SS Rod Radial Profile_10'!$E$41:$M$41</c:f>
              <c:numCache>
                <c:formatCode>General</c:formatCode>
                <c:ptCount val="9"/>
                <c:pt idx="0">
                  <c:v>0.0681720489265772</c:v>
                </c:pt>
                <c:pt idx="1">
                  <c:v>0.109924125935137</c:v>
                </c:pt>
                <c:pt idx="2">
                  <c:v>0.152437335565268</c:v>
                </c:pt>
                <c:pt idx="3">
                  <c:v>0.195215039609531</c:v>
                </c:pt>
                <c:pt idx="4">
                  <c:v>0.238114730138942</c:v>
                </c:pt>
                <c:pt idx="5">
                  <c:v>0.281080558439053</c:v>
                </c:pt>
                <c:pt idx="6">
                  <c:v>0.324086220872712</c:v>
                </c:pt>
                <c:pt idx="7">
                  <c:v>0.367117718709654</c:v>
                </c:pt>
                <c:pt idx="8">
                  <c:v>0.409600000000001</c:v>
                </c:pt>
              </c:numCache>
            </c:numRef>
          </c:xVal>
          <c:yVal>
            <c:numRef>
              <c:f>'SS Rod Radial Profile_10'!$R$52:$AB$52</c:f>
              <c:numCache>
                <c:formatCode>General</c:formatCode>
                <c:ptCount val="11"/>
                <c:pt idx="0">
                  <c:v>-0.00206806176336983</c:v>
                </c:pt>
                <c:pt idx="1">
                  <c:v>-0.00122225310545872</c:v>
                </c:pt>
                <c:pt idx="2">
                  <c:v>-0.000796638716092896</c:v>
                </c:pt>
                <c:pt idx="3">
                  <c:v>-0.000582661315271518</c:v>
                </c:pt>
                <c:pt idx="4">
                  <c:v>-0.000439433962734568</c:v>
                </c:pt>
                <c:pt idx="5">
                  <c:v>-0.000330029779023568</c:v>
                </c:pt>
                <c:pt idx="6">
                  <c:v>-0.000239681365440594</c:v>
                </c:pt>
                <c:pt idx="7">
                  <c:v>-0.000160922504422763</c:v>
                </c:pt>
                <c:pt idx="8">
                  <c:v>-8.9366534782352E-005</c:v>
                </c:pt>
                <c:pt idx="9">
                  <c:v>-2.21259398532451E-005</c:v>
                </c:pt>
                <c:pt idx="10">
                  <c:v>1.61295898903263E-005</c:v>
                </c:pt>
              </c:numCache>
            </c:numRef>
          </c:yVal>
        </c:ser>
        <c:axId val="3715974"/>
        <c:axId val="70996767"/>
      </c:scatterChart>
      <c:valAx>
        <c:axId val="371597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996767"/>
        <c:crossesAt val="0"/>
      </c:valAx>
      <c:valAx>
        <c:axId val="70996767"/>
        <c:scaling>
          <c:orientation val="minMax"/>
          <c:min val="0.002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71597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Profile_10'!$B$49:$B$49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'SS Rod Radial Profile_10'!$C$48:$O$48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xVal>
          <c:yVal>
            <c:numRef>
              <c:f>'SS Rod Radial Profile_10'!$C$49:$O$49</c:f>
              <c:numCache>
                <c:formatCode>General</c:formatCode>
                <c:ptCount val="13"/>
                <c:pt idx="0">
                  <c:v>387.279026947385</c:v>
                </c:pt>
                <c:pt idx="1">
                  <c:v>386.951062137358</c:v>
                </c:pt>
                <c:pt idx="2">
                  <c:v>385.639202897249</c:v>
                </c:pt>
                <c:pt idx="3">
                  <c:v>383.015484417031</c:v>
                </c:pt>
                <c:pt idx="4">
                  <c:v>379.079906696704</c:v>
                </c:pt>
                <c:pt idx="5">
                  <c:v>373.832469736268</c:v>
                </c:pt>
                <c:pt idx="6">
                  <c:v>367.273173535723</c:v>
                </c:pt>
                <c:pt idx="7">
                  <c:v>359.402018095069</c:v>
                </c:pt>
                <c:pt idx="8">
                  <c:v>350.219003414306</c:v>
                </c:pt>
                <c:pt idx="9">
                  <c:v>339.724129493434</c:v>
                </c:pt>
                <c:pt idx="10">
                  <c:v>328.081378737466</c:v>
                </c:pt>
                <c:pt idx="11">
                  <c:v>300.70967433418</c:v>
                </c:pt>
                <c:pt idx="12">
                  <c:v>294.895615655746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Profile_10'!$B$50:$B$50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Profile_10'!$C$48:$O$48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Profile_10'!$C$50:$O$50</c:f>
              <c:numCache>
                <c:formatCode>General</c:formatCode>
                <c:ptCount val="13"/>
                <c:pt idx="0">
                  <c:v>386.504177777778</c:v>
                </c:pt>
                <c:pt idx="1">
                  <c:v>386.504177777778</c:v>
                </c:pt>
                <c:pt idx="2">
                  <c:v>385.357645555556</c:v>
                </c:pt>
                <c:pt idx="3">
                  <c:v>382.817075555556</c:v>
                </c:pt>
                <c:pt idx="4">
                  <c:v>378.936742777778</c:v>
                </c:pt>
                <c:pt idx="5">
                  <c:v>373.730765555556</c:v>
                </c:pt>
                <c:pt idx="6">
                  <c:v>367.204717777778</c:v>
                </c:pt>
                <c:pt idx="7">
                  <c:v>359.361359444444</c:v>
                </c:pt>
                <c:pt idx="8">
                  <c:v>350.202254444444</c:v>
                </c:pt>
                <c:pt idx="9">
                  <c:v>339.728370555556</c:v>
                </c:pt>
                <c:pt idx="10">
                  <c:v>328.095584444444</c:v>
                </c:pt>
                <c:pt idx="11">
                  <c:v>300.725263888889</c:v>
                </c:pt>
                <c:pt idx="12">
                  <c:v>295.245399444445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Profile_10'!$B$51:$B$51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Profile_10'!$C$48:$O$48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Profile_10'!$C$51:$O$51</c:f>
              <c:numCache>
                <c:formatCode>General</c:formatCode>
                <c:ptCount val="13"/>
                <c:pt idx="0">
                  <c:v>386.509860555556</c:v>
                </c:pt>
                <c:pt idx="1">
                  <c:v>386.509860555556</c:v>
                </c:pt>
                <c:pt idx="2">
                  <c:v>385.363238333333</c:v>
                </c:pt>
                <c:pt idx="3">
                  <c:v>382.822472777778</c:v>
                </c:pt>
                <c:pt idx="4">
                  <c:v>378.941847777778</c:v>
                </c:pt>
                <c:pt idx="5">
                  <c:v>373.73549</c:v>
                </c:pt>
                <c:pt idx="6">
                  <c:v>367.208984444444</c:v>
                </c:pt>
                <c:pt idx="7">
                  <c:v>359.365103888889</c:v>
                </c:pt>
                <c:pt idx="8">
                  <c:v>350.205426111111</c:v>
                </c:pt>
                <c:pt idx="9">
                  <c:v>339.730933333333</c:v>
                </c:pt>
                <c:pt idx="10">
                  <c:v>328.097527777778</c:v>
                </c:pt>
                <c:pt idx="11">
                  <c:v>300.725823333333</c:v>
                </c:pt>
                <c:pt idx="12">
                  <c:v>295.245674444444</c:v>
                </c:pt>
              </c:numCache>
            </c:numRef>
          </c:yVal>
        </c:ser>
        <c:axId val="66586653"/>
        <c:axId val="72015386"/>
      </c:scatterChart>
      <c:valAx>
        <c:axId val="66586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015386"/>
        <c:crossesAt val="0"/>
      </c:valAx>
      <c:valAx>
        <c:axId val="720153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58665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Profile_10'!$B$42:$B$42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</c:numCache>
            </c:numRef>
          </c:xVal>
          <c:yVal>
            <c:numRef>
              <c:f>'SS Rod Radial Profile_10'!$C$42:$O$42</c:f>
              <c:numCache>
                <c:formatCode>General</c:formatCode>
                <c:ptCount val="13"/>
                <c:pt idx="0">
                  <c:v>92.3834112916388</c:v>
                </c:pt>
                <c:pt idx="1">
                  <c:v>92.0554464816116</c:v>
                </c:pt>
                <c:pt idx="2">
                  <c:v>90.7435872415025</c:v>
                </c:pt>
                <c:pt idx="3">
                  <c:v>88.1198687612845</c:v>
                </c:pt>
                <c:pt idx="4">
                  <c:v>84.1842910409575</c:v>
                </c:pt>
                <c:pt idx="5">
                  <c:v>78.9368540805214</c:v>
                </c:pt>
                <c:pt idx="6">
                  <c:v>72.3775578799764</c:v>
                </c:pt>
                <c:pt idx="7">
                  <c:v>64.5064024393223</c:v>
                </c:pt>
                <c:pt idx="8">
                  <c:v>55.3233877585592</c:v>
                </c:pt>
                <c:pt idx="9">
                  <c:v>44.8285138376873</c:v>
                </c:pt>
                <c:pt idx="10">
                  <c:v>33.1857630817195</c:v>
                </c:pt>
                <c:pt idx="11">
                  <c:v>5.81405867843346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Profile_10'!$B$43:$B$43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Profile_10'!$C$43:$O$43</c:f>
              <c:numCache>
                <c:formatCode>General</c:formatCode>
                <c:ptCount val="13"/>
                <c:pt idx="0">
                  <c:v>91.2587783333334</c:v>
                </c:pt>
                <c:pt idx="1">
                  <c:v>91.2587783333333</c:v>
                </c:pt>
                <c:pt idx="2">
                  <c:v>90.1122461111111</c:v>
                </c:pt>
                <c:pt idx="3">
                  <c:v>87.5716761111111</c:v>
                </c:pt>
                <c:pt idx="4">
                  <c:v>83.6913433333333</c:v>
                </c:pt>
                <c:pt idx="5">
                  <c:v>78.4853661111111</c:v>
                </c:pt>
                <c:pt idx="6">
                  <c:v>71.9593183333333</c:v>
                </c:pt>
                <c:pt idx="7">
                  <c:v>64.11596</c:v>
                </c:pt>
                <c:pt idx="8">
                  <c:v>54.956855</c:v>
                </c:pt>
                <c:pt idx="9">
                  <c:v>44.4829711111111</c:v>
                </c:pt>
                <c:pt idx="10">
                  <c:v>32.850185</c:v>
                </c:pt>
                <c:pt idx="11">
                  <c:v>5.47986444444443</c:v>
                </c:pt>
                <c:pt idx="12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Profile_10'!$B$44:$B$44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Profile_10'!$C$44:$O$44</c:f>
              <c:numCache>
                <c:formatCode>General</c:formatCode>
                <c:ptCount val="13"/>
                <c:pt idx="0">
                  <c:v>91.2641861111112</c:v>
                </c:pt>
                <c:pt idx="1">
                  <c:v>91.2641861111111</c:v>
                </c:pt>
                <c:pt idx="2">
                  <c:v>90.1175638888889</c:v>
                </c:pt>
                <c:pt idx="3">
                  <c:v>87.5767983333333</c:v>
                </c:pt>
                <c:pt idx="4">
                  <c:v>83.6961733333333</c:v>
                </c:pt>
                <c:pt idx="5">
                  <c:v>78.4898155555555</c:v>
                </c:pt>
                <c:pt idx="6">
                  <c:v>71.96331</c:v>
                </c:pt>
                <c:pt idx="7">
                  <c:v>64.1194294444444</c:v>
                </c:pt>
                <c:pt idx="8">
                  <c:v>54.9597516666667</c:v>
                </c:pt>
                <c:pt idx="9">
                  <c:v>44.4852588888889</c:v>
                </c:pt>
                <c:pt idx="10">
                  <c:v>32.8518533333333</c:v>
                </c:pt>
                <c:pt idx="11">
                  <c:v>5.48014888888885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Profile_10'!$B$45:$B$45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Profile_10'!$C$45:$O$45</c:f>
              <c:numCache>
                <c:formatCode>General</c:formatCode>
                <c:ptCount val="13"/>
                <c:pt idx="0">
                  <c:v>91.2339733333335</c:v>
                </c:pt>
                <c:pt idx="1">
                  <c:v>91.2339733333334</c:v>
                </c:pt>
                <c:pt idx="2">
                  <c:v>90.0878511111111</c:v>
                </c:pt>
                <c:pt idx="3">
                  <c:v>87.5481794444445</c:v>
                </c:pt>
                <c:pt idx="4">
                  <c:v>83.6691894444445</c:v>
                </c:pt>
                <c:pt idx="5">
                  <c:v>78.4649572222223</c:v>
                </c:pt>
                <c:pt idx="6">
                  <c:v>71.9410083333334</c:v>
                </c:pt>
                <c:pt idx="7">
                  <c:v>64.1000455555556</c:v>
                </c:pt>
                <c:pt idx="8">
                  <c:v>54.9435688888889</c:v>
                </c:pt>
                <c:pt idx="9">
                  <c:v>44.4724761111111</c:v>
                </c:pt>
                <c:pt idx="10">
                  <c:v>32.8425338888889</c:v>
                </c:pt>
                <c:pt idx="11">
                  <c:v>5.47856166666665</c:v>
                </c:pt>
                <c:pt idx="12">
                  <c:v>0</c:v>
                </c:pt>
              </c:numCache>
            </c:numRef>
          </c:yVal>
        </c:ser>
        <c:axId val="78344065"/>
        <c:axId val="89396118"/>
      </c:scatterChart>
      <c:valAx>
        <c:axId val="78344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9396118"/>
        <c:crossesAt val="0"/>
      </c:valAx>
      <c:valAx>
        <c:axId val="893961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834406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Profile_10'!$Q$42:$Q$42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Profile_10'!$C$41:$M$41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xVal>
          <c:yVal>
            <c:numRef>
              <c:f>'SS Rod Radial Profile_10'!$R$42:$AD$42</c:f>
              <c:numCache>
                <c:formatCode>General</c:formatCode>
                <c:ptCount val="13"/>
                <c:pt idx="0">
                  <c:v>-1.12463295830538</c:v>
                </c:pt>
                <c:pt idx="1">
                  <c:v>-0.796668148278229</c:v>
                </c:pt>
                <c:pt idx="2">
                  <c:v>-0.631341130391434</c:v>
                </c:pt>
                <c:pt idx="3">
                  <c:v>-0.548192650173419</c:v>
                </c:pt>
                <c:pt idx="4">
                  <c:v>-0.492947707624168</c:v>
                </c:pt>
                <c:pt idx="5">
                  <c:v>-0.451487969410309</c:v>
                </c:pt>
                <c:pt idx="6">
                  <c:v>-0.418239546643051</c:v>
                </c:pt>
                <c:pt idx="7">
                  <c:v>-0.390442439322257</c:v>
                </c:pt>
                <c:pt idx="8">
                  <c:v>-0.366532758559217</c:v>
                </c:pt>
                <c:pt idx="9">
                  <c:v>-0.345542726576156</c:v>
                </c:pt>
                <c:pt idx="10">
                  <c:v>-0.335578081719511</c:v>
                </c:pt>
                <c:pt idx="11">
                  <c:v>-0.334194233989038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Profile_10'!$Q$43:$Q$43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'SS Rod Radial Profile_10'!$C$41:$M$41</c:f>
              <c:numCache>
                <c:formatCode>General</c:formatCode>
                <c:ptCount val="11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</c:numCache>
            </c:numRef>
          </c:xVal>
          <c:yVal>
            <c:numRef>
              <c:f>'SS Rod Radial Profile_10'!$R$43:$AD$43</c:f>
              <c:numCache>
                <c:formatCode>General</c:formatCode>
                <c:ptCount val="13"/>
                <c:pt idx="0">
                  <c:v>-1.11922518052761</c:v>
                </c:pt>
                <c:pt idx="1">
                  <c:v>-0.791260370500453</c:v>
                </c:pt>
                <c:pt idx="2">
                  <c:v>-0.6260233526137</c:v>
                </c:pt>
                <c:pt idx="3">
                  <c:v>-0.543070427951179</c:v>
                </c:pt>
                <c:pt idx="4">
                  <c:v>-0.48811770762417</c:v>
                </c:pt>
                <c:pt idx="5">
                  <c:v>-0.447038524965862</c:v>
                </c:pt>
                <c:pt idx="6">
                  <c:v>-0.414247879976358</c:v>
                </c:pt>
                <c:pt idx="7">
                  <c:v>-0.386972994877851</c:v>
                </c:pt>
                <c:pt idx="8">
                  <c:v>-0.363636091892538</c:v>
                </c:pt>
                <c:pt idx="9">
                  <c:v>-0.343254948798403</c:v>
                </c:pt>
                <c:pt idx="10">
                  <c:v>-0.333909748386162</c:v>
                </c:pt>
                <c:pt idx="11">
                  <c:v>-0.333909789544617</c:v>
                </c:pt>
                <c:pt idx="12">
                  <c:v>0</c:v>
                </c:pt>
              </c:numCache>
            </c:numRef>
          </c:yVal>
        </c:ser>
        <c:axId val="54962337"/>
        <c:axId val="80355329"/>
      </c:scatterChart>
      <c:valAx>
        <c:axId val="5496233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0355329"/>
        <c:crossesAt val="0"/>
      </c:valAx>
      <c:valAx>
        <c:axId val="803553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49623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Profile_10'!$B$42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Profile_10'!$C$42:$O$42</c:f>
              <c:numCache>
                <c:formatCode>General</c:formatCode>
                <c:ptCount val="13"/>
                <c:pt idx="0">
                  <c:v>92.3834112916388</c:v>
                </c:pt>
                <c:pt idx="1">
                  <c:v>92.0554464816116</c:v>
                </c:pt>
                <c:pt idx="2">
                  <c:v>90.7435872415025</c:v>
                </c:pt>
                <c:pt idx="3">
                  <c:v>88.1198687612845</c:v>
                </c:pt>
                <c:pt idx="4">
                  <c:v>84.1842910409575</c:v>
                </c:pt>
                <c:pt idx="5">
                  <c:v>78.9368540805214</c:v>
                </c:pt>
                <c:pt idx="6">
                  <c:v>72.3775578799764</c:v>
                </c:pt>
                <c:pt idx="7">
                  <c:v>64.5064024393223</c:v>
                </c:pt>
                <c:pt idx="8">
                  <c:v>55.3233877585592</c:v>
                </c:pt>
                <c:pt idx="9">
                  <c:v>44.8285138376873</c:v>
                </c:pt>
                <c:pt idx="10">
                  <c:v>33.1857630817195</c:v>
                </c:pt>
                <c:pt idx="11">
                  <c:v>5.81405867843346</c:v>
                </c:pt>
                <c:pt idx="12">
                  <c:v>0</c:v>
                </c:pt>
              </c:numCache>
            </c:numRef>
          </c:yVal>
        </c:ser>
        <c:ser>
          <c:idx val="1"/>
          <c:order val="1"/>
          <c:tx>
            <c:strRef>
              <c:f>'SS Rod Radial Profile_10'!$B$43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Profile_10'!$C$43:$O$43</c:f>
              <c:numCache>
                <c:formatCode>General</c:formatCode>
                <c:ptCount val="13"/>
                <c:pt idx="0">
                  <c:v>91.2587783333334</c:v>
                </c:pt>
                <c:pt idx="1">
                  <c:v>91.2587783333333</c:v>
                </c:pt>
                <c:pt idx="2">
                  <c:v>90.1122461111111</c:v>
                </c:pt>
                <c:pt idx="3">
                  <c:v>87.5716761111111</c:v>
                </c:pt>
                <c:pt idx="4">
                  <c:v>83.6913433333333</c:v>
                </c:pt>
                <c:pt idx="5">
                  <c:v>78.4853661111111</c:v>
                </c:pt>
                <c:pt idx="6">
                  <c:v>71.9593183333333</c:v>
                </c:pt>
                <c:pt idx="7">
                  <c:v>64.11596</c:v>
                </c:pt>
                <c:pt idx="8">
                  <c:v>54.956855</c:v>
                </c:pt>
                <c:pt idx="9">
                  <c:v>44.4829711111111</c:v>
                </c:pt>
                <c:pt idx="10">
                  <c:v>32.850185</c:v>
                </c:pt>
                <c:pt idx="11">
                  <c:v>5.47986444444443</c:v>
                </c:pt>
                <c:pt idx="12">
                  <c:v>0</c:v>
                </c:pt>
              </c:numCache>
            </c:numRef>
          </c:yVal>
        </c:ser>
        <c:ser>
          <c:idx val="2"/>
          <c:order val="2"/>
          <c:tx>
            <c:strRef>
              <c:f>'SS Rod Radial Profile_10'!$B$44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Profile_10'!$C$44:$O$44</c:f>
              <c:numCache>
                <c:formatCode>General</c:formatCode>
                <c:ptCount val="13"/>
                <c:pt idx="0">
                  <c:v>91.2641861111112</c:v>
                </c:pt>
                <c:pt idx="1">
                  <c:v>91.2641861111111</c:v>
                </c:pt>
                <c:pt idx="2">
                  <c:v>90.1175638888889</c:v>
                </c:pt>
                <c:pt idx="3">
                  <c:v>87.5767983333333</c:v>
                </c:pt>
                <c:pt idx="4">
                  <c:v>83.6961733333333</c:v>
                </c:pt>
                <c:pt idx="5">
                  <c:v>78.4898155555555</c:v>
                </c:pt>
                <c:pt idx="6">
                  <c:v>71.96331</c:v>
                </c:pt>
                <c:pt idx="7">
                  <c:v>64.1194294444444</c:v>
                </c:pt>
                <c:pt idx="8">
                  <c:v>54.9597516666667</c:v>
                </c:pt>
                <c:pt idx="9">
                  <c:v>44.4852588888889</c:v>
                </c:pt>
                <c:pt idx="10">
                  <c:v>32.8518533333333</c:v>
                </c:pt>
                <c:pt idx="11">
                  <c:v>5.48014888888885</c:v>
                </c:pt>
                <c:pt idx="12">
                  <c:v>0</c:v>
                </c:pt>
              </c:numCache>
            </c:numRef>
          </c:yVal>
        </c:ser>
        <c:ser>
          <c:idx val="3"/>
          <c:order val="3"/>
          <c:tx>
            <c:strRef>
              <c:f>'SS Rod Radial Profile_10'!$B$45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579d1c"/>
            </a:solidFill>
            <a:ln w="28800">
              <a:noFill/>
            </a:ln>
          </c:spPr>
          <c:marker>
            <c:size val="7"/>
          </c:marker>
          <c:xVal>
            <c:numRef>
              <c:f>'SS Rod Radial Profile_10'!$C$41:$O$41</c:f>
              <c:numCache>
                <c:formatCode>General</c:formatCode>
                <c:ptCount val="13"/>
                <c:pt idx="0">
                  <c:v>0</c:v>
                </c:pt>
                <c:pt idx="1">
                  <c:v>0.0304874671130537</c:v>
                </c:pt>
                <c:pt idx="2">
                  <c:v>0.0681720489265772</c:v>
                </c:pt>
                <c:pt idx="3">
                  <c:v>0.109924125935137</c:v>
                </c:pt>
                <c:pt idx="4">
                  <c:v>0.152437335565268</c:v>
                </c:pt>
                <c:pt idx="5">
                  <c:v>0.195215039609531</c:v>
                </c:pt>
                <c:pt idx="6">
                  <c:v>0.238114730138942</c:v>
                </c:pt>
                <c:pt idx="7">
                  <c:v>0.281080558439053</c:v>
                </c:pt>
                <c:pt idx="8">
                  <c:v>0.324086220872712</c:v>
                </c:pt>
                <c:pt idx="9">
                  <c:v>0.367117718709654</c:v>
                </c:pt>
                <c:pt idx="10">
                  <c:v>0.409600000000001</c:v>
                </c:pt>
                <c:pt idx="11">
                  <c:v>0.418000000000001</c:v>
                </c:pt>
                <c:pt idx="12">
                  <c:v>0.474999999999999</c:v>
                </c:pt>
              </c:numCache>
            </c:numRef>
          </c:xVal>
          <c:yVal>
            <c:numRef>
              <c:f>'SS Rod Radial Profile_10'!$C$45:$O$45</c:f>
              <c:numCache>
                <c:formatCode>General</c:formatCode>
                <c:ptCount val="13"/>
                <c:pt idx="0">
                  <c:v>91.2339733333335</c:v>
                </c:pt>
                <c:pt idx="1">
                  <c:v>91.2339733333334</c:v>
                </c:pt>
                <c:pt idx="2">
                  <c:v>90.0878511111111</c:v>
                </c:pt>
                <c:pt idx="3">
                  <c:v>87.5481794444445</c:v>
                </c:pt>
                <c:pt idx="4">
                  <c:v>83.6691894444445</c:v>
                </c:pt>
                <c:pt idx="5">
                  <c:v>78.4649572222223</c:v>
                </c:pt>
                <c:pt idx="6">
                  <c:v>71.9410083333334</c:v>
                </c:pt>
                <c:pt idx="7">
                  <c:v>64.1000455555556</c:v>
                </c:pt>
                <c:pt idx="8">
                  <c:v>54.9435688888889</c:v>
                </c:pt>
                <c:pt idx="9">
                  <c:v>44.4724761111111</c:v>
                </c:pt>
                <c:pt idx="10">
                  <c:v>32.8425338888889</c:v>
                </c:pt>
                <c:pt idx="11">
                  <c:v>5.47856166666665</c:v>
                </c:pt>
                <c:pt idx="12">
                  <c:v>0</c:v>
                </c:pt>
              </c:numCache>
            </c:numRef>
          </c:yVal>
        </c:ser>
        <c:axId val="90475832"/>
        <c:axId val="76007670"/>
      </c:scatterChart>
      <c:valAx>
        <c:axId val="904758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6007670"/>
        <c:crosses val="autoZero"/>
      </c:valAx>
      <c:valAx>
        <c:axId val="7600767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0475832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Profile_20'!$B$42:$B$42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Profile_20'!$C$42:$AO$42</c:f>
              <c:numCache>
                <c:formatCode>General</c:formatCode>
                <c:ptCount val="39"/>
                <c:pt idx="0">
                  <c:v>92.3834112916388</c:v>
                </c:pt>
                <c:pt idx="1">
                  <c:v>92.3055708600676</c:v>
                </c:pt>
                <c:pt idx="2">
                  <c:v>91.9942091337827</c:v>
                </c:pt>
                <c:pt idx="3">
                  <c:v>91.3714856812129</c:v>
                </c:pt>
                <c:pt idx="4">
                  <c:v>90.4374005023581</c:v>
                </c:pt>
                <c:pt idx="5">
                  <c:v>89.1919535972184</c:v>
                </c:pt>
                <c:pt idx="6">
                  <c:v>87.6351449657939</c:v>
                </c:pt>
                <c:pt idx="7">
                  <c:v>85.7669746080844</c:v>
                </c:pt>
                <c:pt idx="8">
                  <c:v>83.58744252409</c:v>
                </c:pt>
                <c:pt idx="9">
                  <c:v>81.0965487138107</c:v>
                </c:pt>
                <c:pt idx="10">
                  <c:v>78.2942931772464</c:v>
                </c:pt>
                <c:pt idx="11">
                  <c:v>75.1806759143973</c:v>
                </c:pt>
                <c:pt idx="12">
                  <c:v>71.7556969252632</c:v>
                </c:pt>
                <c:pt idx="13">
                  <c:v>68.0193562098443</c:v>
                </c:pt>
                <c:pt idx="14">
                  <c:v>63.9716537681404</c:v>
                </c:pt>
                <c:pt idx="15">
                  <c:v>59.6125896001515</c:v>
                </c:pt>
                <c:pt idx="16">
                  <c:v>54.9421637058781</c:v>
                </c:pt>
                <c:pt idx="17">
                  <c:v>49.9603760853194</c:v>
                </c:pt>
                <c:pt idx="18">
                  <c:v>44.6672267384753</c:v>
                </c:pt>
                <c:pt idx="19">
                  <c:v>39.0627156653471</c:v>
                </c:pt>
                <c:pt idx="20">
                  <c:v>33.1857630817195</c:v>
                </c:pt>
                <c:pt idx="21">
                  <c:v>5.81405867843346</c:v>
                </c:pt>
                <c:pt idx="22">
                  <c:v>0</c:v>
                </c:pt>
                <c:pt idx="23">
                  <c:v>-3.96106367480532</c:v>
                </c:pt>
                <c:pt idx="24">
                  <c:v/>
                </c:pt>
                <c:pt idx="25">
                  <c:v/>
                </c:pt>
                <c:pt idx="26">
                  <c:v>-0.554327402749792</c:v>
                </c:pt>
                <c:pt idx="27">
                  <c:v>-0.476486971178687</c:v>
                </c:pt>
                <c:pt idx="28">
                  <c:v>-0.437247467115981</c:v>
                </c:pt>
                <c:pt idx="29">
                  <c:v>-0.417510681212818</c:v>
                </c:pt>
                <c:pt idx="30">
                  <c:v>-0.404394946802512</c:v>
                </c:pt>
                <c:pt idx="31">
                  <c:v>-0.394548041662887</c:v>
                </c:pt>
                <c:pt idx="32">
                  <c:v>-0.386644410238276</c:v>
                </c:pt>
                <c:pt idx="33">
                  <c:v>-0.380027385862164</c:v>
                </c:pt>
                <c:pt idx="34">
                  <c:v>-0.374323079645507</c:v>
                </c:pt>
                <c:pt idx="35">
                  <c:v>-0.369299824921725</c:v>
                </c:pt>
                <c:pt idx="36">
                  <c:v>-0.364802621690842</c:v>
                </c:pt>
                <c:pt idx="37">
                  <c:v>-0.360724803286175</c:v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Profile_20'!$B$43:$B$43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Profile_20'!$C$43:$AO$43</c:f>
              <c:numCache>
                <c:formatCode>General</c:formatCode>
                <c:ptCount val="39"/>
                <c:pt idx="0">
                  <c:v>91.829083888889</c:v>
                </c:pt>
                <c:pt idx="1">
                  <c:v>91.8290838888889</c:v>
                </c:pt>
                <c:pt idx="2">
                  <c:v>91.5569616666667</c:v>
                </c:pt>
                <c:pt idx="3">
                  <c:v>90.953975</c:v>
                </c:pt>
                <c:pt idx="4">
                  <c:v>90.0330055555556</c:v>
                </c:pt>
                <c:pt idx="5">
                  <c:v>88.7974055555556</c:v>
                </c:pt>
                <c:pt idx="6">
                  <c:v>87.2485005555556</c:v>
                </c:pt>
                <c:pt idx="7">
                  <c:v>85.3869472222222</c:v>
                </c:pt>
                <c:pt idx="8">
                  <c:v>83.2131194444445</c:v>
                </c:pt>
                <c:pt idx="9">
                  <c:v>80.7272488888889</c:v>
                </c:pt>
                <c:pt idx="10">
                  <c:v>77.9294905555556</c:v>
                </c:pt>
                <c:pt idx="11">
                  <c:v>74.8199511111111</c:v>
                </c:pt>
                <c:pt idx="12">
                  <c:v>71.3987077777778</c:v>
                </c:pt>
                <c:pt idx="13">
                  <c:v>67.6658194444445</c:v>
                </c:pt>
                <c:pt idx="14">
                  <c:v>63.6213283333334</c:v>
                </c:pt>
                <c:pt idx="15">
                  <c:v>59.26527</c:v>
                </c:pt>
                <c:pt idx="16">
                  <c:v>54.5976705555556</c:v>
                </c:pt>
                <c:pt idx="17">
                  <c:v>49.6185511111111</c:v>
                </c:pt>
                <c:pt idx="18">
                  <c:v>44.3279294444445</c:v>
                </c:pt>
                <c:pt idx="19">
                  <c:v>38.7258188888889</c:v>
                </c:pt>
                <c:pt idx="20">
                  <c:v>32.8501466666667</c:v>
                </c:pt>
                <c:pt idx="21">
                  <c:v>5.47985833333333</c:v>
                </c:pt>
                <c:pt idx="22">
                  <c:v>0</c:v>
                </c:pt>
                <c:pt idx="23">
                  <c:v>-4.31084079683665</c:v>
                </c:pt>
                <c:pt idx="24">
                  <c:v/>
                </c:pt>
                <c:pt idx="25">
                  <c:v/>
                </c:pt>
                <c:pt idx="26">
                  <c:v>-0.548768513860992</c:v>
                </c:pt>
                <c:pt idx="27">
                  <c:v>-0.470928082289873</c:v>
                </c:pt>
                <c:pt idx="28">
                  <c:v>-0.43170968933822</c:v>
                </c:pt>
                <c:pt idx="29">
                  <c:v>-0.412021792323955</c:v>
                </c:pt>
                <c:pt idx="30">
                  <c:v>-0.398978835691437</c:v>
                </c:pt>
                <c:pt idx="31">
                  <c:v>-0.389229152774035</c:v>
                </c:pt>
                <c:pt idx="32">
                  <c:v>-0.381446076904993</c:v>
                </c:pt>
                <c:pt idx="33">
                  <c:v>-0.374972941417724</c:v>
                </c:pt>
                <c:pt idx="34">
                  <c:v>-0.369434190756635</c:v>
                </c:pt>
                <c:pt idx="35">
                  <c:v>-0.364596491588458</c:v>
                </c:pt>
                <c:pt idx="36">
                  <c:v>-0.360305399468672</c:v>
                </c:pt>
                <c:pt idx="37">
                  <c:v>-0.356450914397342</c:v>
                </c:pt>
                <c:pt idx="38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Profile_20'!$B$44:$B$44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Profile_20'!$C$44:$AO$44</c:f>
              <c:numCache>
                <c:formatCode>General</c:formatCode>
                <c:ptCount val="39"/>
                <c:pt idx="0">
                  <c:v>91.8346427777778</c:v>
                </c:pt>
                <c:pt idx="1">
                  <c:v>91.8346427777777</c:v>
                </c:pt>
                <c:pt idx="2">
                  <c:v>91.5624994444445</c:v>
                </c:pt>
                <c:pt idx="3">
                  <c:v>90.9594638888889</c:v>
                </c:pt>
                <c:pt idx="4">
                  <c:v>90.0384216666667</c:v>
                </c:pt>
                <c:pt idx="5">
                  <c:v>88.8027244444444</c:v>
                </c:pt>
                <c:pt idx="6">
                  <c:v>87.2536988888889</c:v>
                </c:pt>
                <c:pt idx="7">
                  <c:v>85.3920016666667</c:v>
                </c:pt>
                <c:pt idx="8">
                  <c:v>83.2180083333333</c:v>
                </c:pt>
                <c:pt idx="9">
                  <c:v>80.7319522222222</c:v>
                </c:pt>
                <c:pt idx="10">
                  <c:v>77.9339877777778</c:v>
                </c:pt>
                <c:pt idx="11">
                  <c:v>74.824225</c:v>
                </c:pt>
                <c:pt idx="12">
                  <c:v>71.4027416666666</c:v>
                </c:pt>
                <c:pt idx="13">
                  <c:v>67.6695972222222</c:v>
                </c:pt>
                <c:pt idx="14">
                  <c:v>63.6248372222222</c:v>
                </c:pt>
                <c:pt idx="15">
                  <c:v>59.2684972222222</c:v>
                </c:pt>
                <c:pt idx="16">
                  <c:v>54.6006061111111</c:v>
                </c:pt>
                <c:pt idx="17">
                  <c:v>49.6211872222222</c:v>
                </c:pt>
                <c:pt idx="18">
                  <c:v>44.3302588888889</c:v>
                </c:pt>
                <c:pt idx="19">
                  <c:v>38.7278377777778</c:v>
                </c:pt>
                <c:pt idx="20">
                  <c:v>32.8518533333333</c:v>
                </c:pt>
                <c:pt idx="21">
                  <c:v>5.48014888888885</c:v>
                </c:pt>
                <c:pt idx="22">
                  <c:v>0</c:v>
                </c:pt>
                <c:pt idx="23">
                  <c:v>-4.31112246350337</c:v>
                </c:pt>
                <c:pt idx="24">
                  <c:v/>
                </c:pt>
                <c:pt idx="25">
                  <c:v/>
                </c:pt>
                <c:pt idx="26">
                  <c:v>-0.579605736083167</c:v>
                </c:pt>
                <c:pt idx="27">
                  <c:v>-0.501765304512048</c:v>
                </c:pt>
                <c:pt idx="28">
                  <c:v>-0.462426356004897</c:v>
                </c:pt>
                <c:pt idx="29">
                  <c:v>-0.442471236768384</c:v>
                </c:pt>
                <c:pt idx="30">
                  <c:v>-0.42902328013588</c:v>
                </c:pt>
                <c:pt idx="31">
                  <c:v>-0.418733597218449</c:v>
                </c:pt>
                <c:pt idx="32">
                  <c:v>-0.410279965793848</c:v>
                </c:pt>
                <c:pt idx="33">
                  <c:v>-0.403010163639962</c:v>
                </c:pt>
                <c:pt idx="34">
                  <c:v>-0.396554190756632</c:v>
                </c:pt>
                <c:pt idx="35">
                  <c:v>-0.390684824921735</c:v>
                </c:pt>
                <c:pt idx="36">
                  <c:v>-0.385253732801985</c:v>
                </c:pt>
                <c:pt idx="37">
                  <c:v>-0.380158692175073</c:v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'SS Rod Radial Profile_20'!$B$45:$B$45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Profile_20'!$C$45:$AO$45</c:f>
              <c:numCache>
                <c:formatCode>General</c:formatCode>
                <c:ptCount val="39"/>
                <c:pt idx="0">
                  <c:v>91.8038055555556</c:v>
                </c:pt>
                <c:pt idx="1">
                  <c:v>91.8038055555556</c:v>
                </c:pt>
                <c:pt idx="2">
                  <c:v>91.5317827777778</c:v>
                </c:pt>
                <c:pt idx="3">
                  <c:v>90.9290144444445</c:v>
                </c:pt>
                <c:pt idx="4">
                  <c:v>90.0083772222222</c:v>
                </c:pt>
                <c:pt idx="5">
                  <c:v>88.77322</c:v>
                </c:pt>
                <c:pt idx="6">
                  <c:v>87.224865</c:v>
                </c:pt>
                <c:pt idx="7">
                  <c:v>85.3639644444444</c:v>
                </c:pt>
                <c:pt idx="8">
                  <c:v>83.1908883333334</c:v>
                </c:pt>
                <c:pt idx="9">
                  <c:v>80.7058638888889</c:v>
                </c:pt>
                <c:pt idx="10">
                  <c:v>77.9090394444444</c:v>
                </c:pt>
                <c:pt idx="11">
                  <c:v>74.8005172222222</c:v>
                </c:pt>
                <c:pt idx="12">
                  <c:v>71.3803672222223</c:v>
                </c:pt>
                <c:pt idx="13">
                  <c:v>67.6486411111111</c:v>
                </c:pt>
                <c:pt idx="14">
                  <c:v>63.605375</c:v>
                </c:pt>
                <c:pt idx="15">
                  <c:v>59.2505955555556</c:v>
                </c:pt>
                <c:pt idx="16">
                  <c:v>54.5843211111111</c:v>
                </c:pt>
                <c:pt idx="17">
                  <c:v>49.606565</c:v>
                </c:pt>
                <c:pt idx="18">
                  <c:v>44.3173361111111</c:v>
                </c:pt>
                <c:pt idx="19">
                  <c:v>38.71664</c:v>
                </c:pt>
                <c:pt idx="20">
                  <c:v>32.8423844444445</c:v>
                </c:pt>
                <c:pt idx="21">
                  <c:v>5.4785361111111</c:v>
                </c:pt>
                <c:pt idx="22">
                  <c:v>0</c:v>
                </c:pt>
                <c:pt idx="23">
                  <c:v>-4.30956024128111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91494001"/>
        <c:axId val="33892986"/>
      </c:scatterChart>
      <c:valAx>
        <c:axId val="91494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3892986"/>
        <c:crossesAt val="0"/>
      </c:valAx>
      <c:valAx>
        <c:axId val="338929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149400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Profile_20'!$AB$50:$AB$50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Profile_20'!$D$41:$M$41</c:f>
              <c:numCache>
                <c:formatCode>General</c:formatCod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numCache>
            </c:numRef>
          </c:xVal>
          <c:yVal>
            <c:numRef>
              <c:f>'SS Rod Radial Profile_20'!$AC$50:$AM$50</c:f>
              <c:numCache>
                <c:formatCode>General</c:formatCode>
                <c:ptCount val="11"/>
                <c:pt idx="0">
                  <c:v>-0.000528172884368712</c:v>
                </c:pt>
                <c:pt idx="1">
                  <c:v>-0.000327245508433304</c:v>
                </c:pt>
                <c:pt idx="2">
                  <c:v>-0.000226085928034447</c:v>
                </c:pt>
                <c:pt idx="3">
                  <c:v>-0.000175354201657442</c:v>
                </c:pt>
                <c:pt idx="4">
                  <c:v>-0.000141741876457111</c:v>
                </c:pt>
                <c:pt idx="5">
                  <c:v>-0.000116564354630476</c:v>
                </c:pt>
                <c:pt idx="6">
                  <c:v>-9.63773165509721E-005</c:v>
                </c:pt>
                <c:pt idx="7">
                  <c:v>-7.94673934463281E-005</c:v>
                </c:pt>
                <c:pt idx="8">
                  <c:v>-6.48535174392401E-005</c:v>
                </c:pt>
                <c:pt idx="9">
                  <c:v>-5.19231642050056E-005</c:v>
                </c:pt>
                <c:pt idx="10">
                  <c:v>-4.02623417832309E-005</c:v>
                </c:pt>
              </c:numCache>
            </c:numRef>
          </c:yVal>
        </c:ser>
        <c:ser>
          <c:idx val="1"/>
          <c:order val="1"/>
          <c:tx>
            <c:strRef>
              <c:f>'SS Rod Radial Profile_20'!$AB$52:$AB$52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6"/>
          </c:marker>
          <c:xVal>
            <c:numRef>
              <c:f>'SS Rod Radial Profile_20'!$D$41:$M$41</c:f>
              <c:numCache>
                <c:formatCode>General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0.0951047628866946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Profile_20'!$AC$52:$AM$52</c:f>
              <c:numCache>
                <c:formatCode>General</c:formatCode>
                <c:ptCount val="11"/>
                <c:pt idx="0">
                  <c:v>-0.000596751059381736</c:v>
                </c:pt>
                <c:pt idx="1">
                  <c:v>-0.00039583746996089</c:v>
                </c:pt>
                <c:pt idx="2">
                  <c:v>-0.00029447605553084</c:v>
                </c:pt>
                <c:pt idx="3">
                  <c:v>-0.000243289345552006</c:v>
                </c:pt>
                <c:pt idx="4">
                  <c:v>-0.000208979532724516</c:v>
                </c:pt>
                <c:pt idx="5">
                  <c:v>-0.000182867232280531</c:v>
                </c:pt>
                <c:pt idx="6">
                  <c:v>-0.000161512238173031</c:v>
                </c:pt>
                <c:pt idx="7">
                  <c:v>-0.000143207130299732</c:v>
                </c:pt>
                <c:pt idx="8">
                  <c:v>-0.000126974307679416</c:v>
                </c:pt>
                <c:pt idx="9">
                  <c:v>-0.000112205153308524</c:v>
                </c:pt>
                <c:pt idx="10">
                  <c:v>-9.84945344346014E-005</c:v>
                </c:pt>
              </c:numCache>
            </c:numRef>
          </c:yVal>
        </c:ser>
        <c:ser>
          <c:idx val="2"/>
          <c:order val="2"/>
          <c:tx>
            <c:strRef>
              <c:f>'SS Rod Radial Profile_20'!$AB$51:$AB$51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'SS Rod Radial Profile_20'!$D$41:$M$41</c:f>
              <c:numCache>
                <c:formatCode>General</c:formatCode>
                <c:ptCount val="10"/>
                <c:pt idx="0">
                  <c:v>0.014852868593539</c:v>
                </c:pt>
                <c:pt idx="1">
                  <c:v>0.0332120238360248</c:v>
                </c:pt>
                <c:pt idx="2">
                  <c:v>0.0535527793017334</c:v>
                </c:pt>
                <c:pt idx="3">
                  <c:v>0.0742643429676947</c:v>
                </c:pt>
                <c:pt idx="4">
                  <c:v>0.0951047628866946</c:v>
                </c:pt>
                <c:pt idx="5">
                  <c:v>0.116004612118972</c:v>
                </c:pt>
                <c:pt idx="6">
                  <c:v>0.136936682316462</c:v>
                </c:pt>
                <c:pt idx="7">
                  <c:v>0.157888158886706</c:v>
                </c:pt>
                <c:pt idx="8">
                  <c:v>0.178852221935473</c:v>
                </c:pt>
                <c:pt idx="9">
                  <c:v>0.199824910078062</c:v>
                </c:pt>
              </c:numCache>
            </c:numRef>
          </c:xVal>
          <c:yVal>
            <c:numRef>
              <c:f>'SS Rod Radial Profile_20'!$AC$51:$AM$51</c:f>
              <c:numCache>
                <c:formatCode>General</c:formatCode>
                <c:ptCount val="11"/>
                <c:pt idx="0">
                  <c:v>-0.000513091882948287</c:v>
                </c:pt>
                <c:pt idx="1">
                  <c:v>-0.00031216147522553</c:v>
                </c:pt>
                <c:pt idx="2">
                  <c:v>-0.000211044321686496</c:v>
                </c:pt>
                <c:pt idx="3">
                  <c:v>-0.000160414913440599</c:v>
                </c:pt>
                <c:pt idx="4">
                  <c:v>-0.000126955243755446</c:v>
                </c:pt>
                <c:pt idx="5">
                  <c:v>-0.000101982899764794</c:v>
                </c:pt>
                <c:pt idx="6">
                  <c:v>-8.20516712327412E-005</c:v>
                </c:pt>
                <c:pt idx="7">
                  <c:v>-6.54494383134286E-005</c:v>
                </c:pt>
                <c:pt idx="8">
                  <c:v>-5.11922571957751E-005</c:v>
                </c:pt>
                <c:pt idx="9">
                  <c:v>-3.86649091870186E-005</c:v>
                </c:pt>
                <c:pt idx="10">
                  <c:v>-2.74568270152127E-005</c:v>
                </c:pt>
              </c:numCache>
            </c:numRef>
          </c:yVal>
        </c:ser>
        <c:axId val="97084545"/>
        <c:axId val="72074491"/>
      </c:scatterChart>
      <c:valAx>
        <c:axId val="9708454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074491"/>
        <c:crossesAt val="0"/>
      </c:valAx>
      <c:valAx>
        <c:axId val="720744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708454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Temperature Profile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Profile_20'!$B$49:$B$49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6"/>
          </c:marker>
          <c:xVal>
            <c:numRef>
              <c:f>'SS Rod Radial Profile_20'!$C$48:$AO$48</c:f>
              <c:numCache>
                <c:formatCode>General</c:formatCode>
                <c:ptCount val="3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Profile_20'!$C$49:$AO$49</c:f>
              <c:numCache>
                <c:formatCode>General</c:formatCode>
                <c:ptCount val="39"/>
                <c:pt idx="0">
                  <c:v>387.279026947385</c:v>
                </c:pt>
                <c:pt idx="1">
                  <c:v>387.201186515814</c:v>
                </c:pt>
                <c:pt idx="2">
                  <c:v>386.889824789529</c:v>
                </c:pt>
                <c:pt idx="3">
                  <c:v>386.267101336959</c:v>
                </c:pt>
                <c:pt idx="4">
                  <c:v>385.333016158105</c:v>
                </c:pt>
                <c:pt idx="5">
                  <c:v>384.087569252965</c:v>
                </c:pt>
                <c:pt idx="6">
                  <c:v>382.53076062154</c:v>
                </c:pt>
                <c:pt idx="7">
                  <c:v>380.662590263831</c:v>
                </c:pt>
                <c:pt idx="8">
                  <c:v>378.483058179836</c:v>
                </c:pt>
                <c:pt idx="9">
                  <c:v>375.992164369557</c:v>
                </c:pt>
                <c:pt idx="10">
                  <c:v>373.189908832993</c:v>
                </c:pt>
                <c:pt idx="11">
                  <c:v>370.076291570144</c:v>
                </c:pt>
                <c:pt idx="12">
                  <c:v>366.65131258101</c:v>
                </c:pt>
                <c:pt idx="13">
                  <c:v>362.914971865591</c:v>
                </c:pt>
                <c:pt idx="14">
                  <c:v>358.867269423887</c:v>
                </c:pt>
                <c:pt idx="15">
                  <c:v>354.508205255898</c:v>
                </c:pt>
                <c:pt idx="16">
                  <c:v>349.837779361624</c:v>
                </c:pt>
                <c:pt idx="17">
                  <c:v>344.855991741066</c:v>
                </c:pt>
                <c:pt idx="18">
                  <c:v>339.562842394222</c:v>
                </c:pt>
                <c:pt idx="19">
                  <c:v>333.958331321094</c:v>
                </c:pt>
                <c:pt idx="20">
                  <c:v>328.081378737466</c:v>
                </c:pt>
                <c:pt idx="21">
                  <c:v>300.70967433418</c:v>
                </c:pt>
                <c:pt idx="22">
                  <c:v>294.895615655746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Profile_20'!$B$50:$B$50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Profile_20'!$C$48:$AO$48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Profile_20'!$C$50:$AO$50</c:f>
              <c:numCache>
                <c:formatCode>General</c:formatCode>
                <c:ptCount val="39"/>
                <c:pt idx="0">
                  <c:v>387.074476666667</c:v>
                </c:pt>
                <c:pt idx="1">
                  <c:v>387.074476666667</c:v>
                </c:pt>
                <c:pt idx="2">
                  <c:v>386.802354444444</c:v>
                </c:pt>
                <c:pt idx="3">
                  <c:v>386.199367777778</c:v>
                </c:pt>
                <c:pt idx="4">
                  <c:v>385.278398333333</c:v>
                </c:pt>
                <c:pt idx="5">
                  <c:v>384.042798333333</c:v>
                </c:pt>
                <c:pt idx="6">
                  <c:v>382.493893333333</c:v>
                </c:pt>
                <c:pt idx="7">
                  <c:v>380.63234</c:v>
                </c:pt>
                <c:pt idx="8">
                  <c:v>378.458512222222</c:v>
                </c:pt>
                <c:pt idx="9">
                  <c:v>375.972641666667</c:v>
                </c:pt>
                <c:pt idx="10">
                  <c:v>373.174883333333</c:v>
                </c:pt>
                <c:pt idx="11">
                  <c:v>370.065343888889</c:v>
                </c:pt>
                <c:pt idx="12">
                  <c:v>366.644100555556</c:v>
                </c:pt>
                <c:pt idx="13">
                  <c:v>362.911212222222</c:v>
                </c:pt>
                <c:pt idx="14">
                  <c:v>358.866721111111</c:v>
                </c:pt>
                <c:pt idx="15">
                  <c:v>354.510662777778</c:v>
                </c:pt>
                <c:pt idx="16">
                  <c:v>349.843063333333</c:v>
                </c:pt>
                <c:pt idx="17">
                  <c:v>344.863943888889</c:v>
                </c:pt>
                <c:pt idx="18">
                  <c:v>339.573322222222</c:v>
                </c:pt>
                <c:pt idx="19">
                  <c:v>333.971211666667</c:v>
                </c:pt>
                <c:pt idx="20">
                  <c:v>328.095539444444</c:v>
                </c:pt>
                <c:pt idx="21">
                  <c:v>300.725251111111</c:v>
                </c:pt>
                <c:pt idx="22">
                  <c:v>295.245392777778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>-0.000528172884368712</c:v>
                </c:pt>
                <c:pt idx="27">
                  <c:v>-0.000327245508433304</c:v>
                </c:pt>
                <c:pt idx="28">
                  <c:v>-0.000226085928034447</c:v>
                </c:pt>
                <c:pt idx="29">
                  <c:v>-0.000175354201657442</c:v>
                </c:pt>
                <c:pt idx="30">
                  <c:v>-0.000141741876457111</c:v>
                </c:pt>
                <c:pt idx="31">
                  <c:v>-0.000116564354630476</c:v>
                </c:pt>
                <c:pt idx="32">
                  <c:v>-9.63773165509721E-005</c:v>
                </c:pt>
                <c:pt idx="33">
                  <c:v>-7.94673934463281E-005</c:v>
                </c:pt>
                <c:pt idx="34">
                  <c:v>-6.48535174392401E-005</c:v>
                </c:pt>
                <c:pt idx="35">
                  <c:v>-5.19231642050056E-005</c:v>
                </c:pt>
                <c:pt idx="36">
                  <c:v>-4.02623417832309E-005</c:v>
                </c:pt>
                <c:pt idx="37">
                  <c:v>-2.95822280544601E-005</c:v>
                </c:pt>
                <c:pt idx="38">
                  <c:v>-1.96699840055065E-005</c:v>
                </c:pt>
              </c:numCache>
            </c:numRef>
          </c:yVal>
        </c:ser>
        <c:ser>
          <c:idx val="2"/>
          <c:order val="2"/>
          <c:tx>
            <c:strRef>
              <c:f>'SS Rod Radial Profile_20'!$B$51:$B$51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Profile_20'!$C$48:$AO$48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Profile_20'!$C$51:$AO$51</c:f>
              <c:numCache>
                <c:formatCode>General</c:formatCode>
                <c:ptCount val="39"/>
                <c:pt idx="0">
                  <c:v>387.080317222222</c:v>
                </c:pt>
                <c:pt idx="1">
                  <c:v>387.080317222222</c:v>
                </c:pt>
                <c:pt idx="2">
                  <c:v>386.808173888889</c:v>
                </c:pt>
                <c:pt idx="3">
                  <c:v>386.205138333333</c:v>
                </c:pt>
                <c:pt idx="4">
                  <c:v>385.284096111111</c:v>
                </c:pt>
                <c:pt idx="5">
                  <c:v>384.048398888889</c:v>
                </c:pt>
                <c:pt idx="6">
                  <c:v>382.499373333333</c:v>
                </c:pt>
                <c:pt idx="7">
                  <c:v>380.637676111111</c:v>
                </c:pt>
                <c:pt idx="8">
                  <c:v>378.463682777778</c:v>
                </c:pt>
                <c:pt idx="9">
                  <c:v>375.977626666667</c:v>
                </c:pt>
                <c:pt idx="10">
                  <c:v>373.179662222222</c:v>
                </c:pt>
                <c:pt idx="11">
                  <c:v>370.069899444444</c:v>
                </c:pt>
                <c:pt idx="12">
                  <c:v>366.648416111111</c:v>
                </c:pt>
                <c:pt idx="13">
                  <c:v>362.915271666667</c:v>
                </c:pt>
                <c:pt idx="14">
                  <c:v>358.870511666667</c:v>
                </c:pt>
                <c:pt idx="15">
                  <c:v>354.514171666667</c:v>
                </c:pt>
                <c:pt idx="16">
                  <c:v>349.846280555556</c:v>
                </c:pt>
                <c:pt idx="17">
                  <c:v>344.866861666667</c:v>
                </c:pt>
                <c:pt idx="18">
                  <c:v>339.575933333333</c:v>
                </c:pt>
                <c:pt idx="19">
                  <c:v>333.973512222222</c:v>
                </c:pt>
                <c:pt idx="20">
                  <c:v>328.097527777778</c:v>
                </c:pt>
                <c:pt idx="21">
                  <c:v>300.725823333333</c:v>
                </c:pt>
                <c:pt idx="22">
                  <c:v>295.245674444444</c:v>
                </c:pt>
                <c:pt idx="23">
                  <c:v>290.934551980941</c:v>
                </c:pt>
                <c:pt idx="24">
                  <c:v/>
                </c:pt>
                <c:pt idx="25">
                  <c:v/>
                </c:pt>
                <c:pt idx="26">
                  <c:v>-0.000513091882948287</c:v>
                </c:pt>
                <c:pt idx="27">
                  <c:v>-0.00031216147522553</c:v>
                </c:pt>
                <c:pt idx="28">
                  <c:v>-0.000211044321686496</c:v>
                </c:pt>
                <c:pt idx="29">
                  <c:v>-0.000160414913440599</c:v>
                </c:pt>
                <c:pt idx="30">
                  <c:v>-0.000126955243755446</c:v>
                </c:pt>
                <c:pt idx="31">
                  <c:v>-0.000101982899764794</c:v>
                </c:pt>
                <c:pt idx="32">
                  <c:v>-8.20516712327412E-005</c:v>
                </c:pt>
                <c:pt idx="33">
                  <c:v>-6.54494383134286E-005</c:v>
                </c:pt>
                <c:pt idx="34">
                  <c:v>-5.11922571957751E-005</c:v>
                </c:pt>
                <c:pt idx="35">
                  <c:v>-3.86649091870186E-005</c:v>
                </c:pt>
                <c:pt idx="36">
                  <c:v>-2.74568270152127E-005</c:v>
                </c:pt>
                <c:pt idx="37">
                  <c:v>-1.72724539368849E-005</c:v>
                </c:pt>
                <c:pt idx="38">
                  <c:v>-7.89979416176393E-006</c:v>
                </c:pt>
              </c:numCache>
            </c:numRef>
          </c:yVal>
        </c:ser>
        <c:axId val="63458348"/>
        <c:axId val="45145828"/>
      </c:scatterChart>
      <c:valAx>
        <c:axId val="634583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5145828"/>
        <c:crossesAt val="0"/>
      </c:valAx>
      <c:valAx>
        <c:axId val="451458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3458348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300">
                <a:latin typeface="Arial"/>
              </a:rPr>
              <a:t>Relative Temperature Difference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Profile_20'!$B$42:$B$42</c:f>
              <c:strCache>
                <c:ptCount val="1"/>
                <c:pt idx="0">
                  <c:v>Analytical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Profile_20'!$C$42:$AO$42</c:f>
              <c:numCache>
                <c:formatCode>General</c:formatCode>
                <c:ptCount val="39"/>
                <c:pt idx="0">
                  <c:v>92.3834112916388</c:v>
                </c:pt>
                <c:pt idx="1">
                  <c:v>92.3055708600676</c:v>
                </c:pt>
                <c:pt idx="2">
                  <c:v>91.9942091337827</c:v>
                </c:pt>
                <c:pt idx="3">
                  <c:v>91.3714856812129</c:v>
                </c:pt>
                <c:pt idx="4">
                  <c:v>90.4374005023581</c:v>
                </c:pt>
                <c:pt idx="5">
                  <c:v>89.1919535972184</c:v>
                </c:pt>
                <c:pt idx="6">
                  <c:v>87.6351449657939</c:v>
                </c:pt>
                <c:pt idx="7">
                  <c:v>85.7669746080844</c:v>
                </c:pt>
                <c:pt idx="8">
                  <c:v>83.58744252409</c:v>
                </c:pt>
                <c:pt idx="9">
                  <c:v>81.0965487138107</c:v>
                </c:pt>
                <c:pt idx="10">
                  <c:v>78.2942931772464</c:v>
                </c:pt>
                <c:pt idx="11">
                  <c:v>75.1806759143973</c:v>
                </c:pt>
                <c:pt idx="12">
                  <c:v>71.7556969252632</c:v>
                </c:pt>
                <c:pt idx="13">
                  <c:v>68.0193562098443</c:v>
                </c:pt>
                <c:pt idx="14">
                  <c:v>63.9716537681404</c:v>
                </c:pt>
                <c:pt idx="15">
                  <c:v>59.6125896001515</c:v>
                </c:pt>
                <c:pt idx="16">
                  <c:v>54.9421637058781</c:v>
                </c:pt>
                <c:pt idx="17">
                  <c:v>49.9603760853194</c:v>
                </c:pt>
                <c:pt idx="18">
                  <c:v>44.6672267384753</c:v>
                </c:pt>
                <c:pt idx="19">
                  <c:v>39.0627156653471</c:v>
                </c:pt>
                <c:pt idx="20">
                  <c:v>33.1857630817195</c:v>
                </c:pt>
                <c:pt idx="21">
                  <c:v>5.81405867843346</c:v>
                </c:pt>
                <c:pt idx="22">
                  <c:v>0</c:v>
                </c:pt>
                <c:pt idx="23">
                  <c:v>-3.96106367480532</c:v>
                </c:pt>
                <c:pt idx="24">
                  <c:v/>
                </c:pt>
                <c:pt idx="25">
                  <c:v/>
                </c:pt>
                <c:pt idx="26">
                  <c:v>-0.554327402749792</c:v>
                </c:pt>
                <c:pt idx="27">
                  <c:v>-0.476486971178687</c:v>
                </c:pt>
                <c:pt idx="28">
                  <c:v>-0.437247467115981</c:v>
                </c:pt>
                <c:pt idx="29">
                  <c:v>-0.417510681212818</c:v>
                </c:pt>
                <c:pt idx="30">
                  <c:v>-0.404394946802512</c:v>
                </c:pt>
                <c:pt idx="31">
                  <c:v>-0.394548041662887</c:v>
                </c:pt>
                <c:pt idx="32">
                  <c:v>-0.386644410238276</c:v>
                </c:pt>
                <c:pt idx="33">
                  <c:v>-0.380027385862164</c:v>
                </c:pt>
                <c:pt idx="34">
                  <c:v>-0.374323079645507</c:v>
                </c:pt>
                <c:pt idx="35">
                  <c:v>-0.369299824921725</c:v>
                </c:pt>
                <c:pt idx="36">
                  <c:v>-0.364802621690842</c:v>
                </c:pt>
                <c:pt idx="37">
                  <c:v>-0.360724803286175</c:v>
                </c:pt>
                <c:pt idx="38">
                  <c:v/>
                </c:pt>
              </c:numCache>
            </c:numRef>
          </c:yVal>
        </c:ser>
        <c:ser>
          <c:idx val="1"/>
          <c:order val="1"/>
          <c:tx>
            <c:strRef>
              <c:f>'SS Rod Radial Profile_20'!$B$43:$B$43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Profile_20'!$C$43:$AO$43</c:f>
              <c:numCache>
                <c:formatCode>General</c:formatCode>
                <c:ptCount val="39"/>
                <c:pt idx="0">
                  <c:v>91.829083888889</c:v>
                </c:pt>
                <c:pt idx="1">
                  <c:v>91.8290838888889</c:v>
                </c:pt>
                <c:pt idx="2">
                  <c:v>91.5569616666667</c:v>
                </c:pt>
                <c:pt idx="3">
                  <c:v>90.953975</c:v>
                </c:pt>
                <c:pt idx="4">
                  <c:v>90.0330055555556</c:v>
                </c:pt>
                <c:pt idx="5">
                  <c:v>88.7974055555556</c:v>
                </c:pt>
                <c:pt idx="6">
                  <c:v>87.2485005555556</c:v>
                </c:pt>
                <c:pt idx="7">
                  <c:v>85.3869472222222</c:v>
                </c:pt>
                <c:pt idx="8">
                  <c:v>83.2131194444445</c:v>
                </c:pt>
                <c:pt idx="9">
                  <c:v>80.7272488888889</c:v>
                </c:pt>
                <c:pt idx="10">
                  <c:v>77.9294905555556</c:v>
                </c:pt>
                <c:pt idx="11">
                  <c:v>74.8199511111111</c:v>
                </c:pt>
                <c:pt idx="12">
                  <c:v>71.3987077777778</c:v>
                </c:pt>
                <c:pt idx="13">
                  <c:v>67.6658194444445</c:v>
                </c:pt>
                <c:pt idx="14">
                  <c:v>63.6213283333334</c:v>
                </c:pt>
                <c:pt idx="15">
                  <c:v>59.26527</c:v>
                </c:pt>
                <c:pt idx="16">
                  <c:v>54.5976705555556</c:v>
                </c:pt>
                <c:pt idx="17">
                  <c:v>49.6185511111111</c:v>
                </c:pt>
                <c:pt idx="18">
                  <c:v>44.3279294444445</c:v>
                </c:pt>
                <c:pt idx="19">
                  <c:v>38.7258188888889</c:v>
                </c:pt>
                <c:pt idx="20">
                  <c:v>32.8501466666667</c:v>
                </c:pt>
                <c:pt idx="21">
                  <c:v>5.47985833333333</c:v>
                </c:pt>
                <c:pt idx="22">
                  <c:v>0</c:v>
                </c:pt>
                <c:pt idx="23">
                  <c:v>-4.31084079683665</c:v>
                </c:pt>
                <c:pt idx="24">
                  <c:v/>
                </c:pt>
                <c:pt idx="25">
                  <c:v/>
                </c:pt>
                <c:pt idx="26">
                  <c:v>-0.548768513860992</c:v>
                </c:pt>
                <c:pt idx="27">
                  <c:v>-0.470928082289873</c:v>
                </c:pt>
                <c:pt idx="28">
                  <c:v>-0.43170968933822</c:v>
                </c:pt>
                <c:pt idx="29">
                  <c:v>-0.412021792323955</c:v>
                </c:pt>
                <c:pt idx="30">
                  <c:v>-0.398978835691437</c:v>
                </c:pt>
                <c:pt idx="31">
                  <c:v>-0.389229152774035</c:v>
                </c:pt>
                <c:pt idx="32">
                  <c:v>-0.381446076904993</c:v>
                </c:pt>
                <c:pt idx="33">
                  <c:v>-0.374972941417724</c:v>
                </c:pt>
                <c:pt idx="34">
                  <c:v>-0.369434190756635</c:v>
                </c:pt>
                <c:pt idx="35">
                  <c:v>-0.364596491588458</c:v>
                </c:pt>
                <c:pt idx="36">
                  <c:v>-0.360305399468672</c:v>
                </c:pt>
                <c:pt idx="37">
                  <c:v>-0.356450914397342</c:v>
                </c:pt>
                <c:pt idx="38">
                  <c:v/>
                </c:pt>
              </c:numCache>
            </c:numRef>
          </c:yVal>
        </c:ser>
        <c:ser>
          <c:idx val="2"/>
          <c:order val="2"/>
          <c:tx>
            <c:strRef>
              <c:f>'SS Rod Radial Profile_20'!$B$44:$B$44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Profile_20'!$C$44:$AO$44</c:f>
              <c:numCache>
                <c:formatCode>General</c:formatCode>
                <c:ptCount val="39"/>
                <c:pt idx="0">
                  <c:v>91.8346427777778</c:v>
                </c:pt>
                <c:pt idx="1">
                  <c:v>91.8346427777777</c:v>
                </c:pt>
                <c:pt idx="2">
                  <c:v>91.5624994444445</c:v>
                </c:pt>
                <c:pt idx="3">
                  <c:v>90.9594638888889</c:v>
                </c:pt>
                <c:pt idx="4">
                  <c:v>90.0384216666667</c:v>
                </c:pt>
                <c:pt idx="5">
                  <c:v>88.8027244444444</c:v>
                </c:pt>
                <c:pt idx="6">
                  <c:v>87.2536988888889</c:v>
                </c:pt>
                <c:pt idx="7">
                  <c:v>85.3920016666667</c:v>
                </c:pt>
                <c:pt idx="8">
                  <c:v>83.2180083333333</c:v>
                </c:pt>
                <c:pt idx="9">
                  <c:v>80.7319522222222</c:v>
                </c:pt>
                <c:pt idx="10">
                  <c:v>77.9339877777778</c:v>
                </c:pt>
                <c:pt idx="11">
                  <c:v>74.824225</c:v>
                </c:pt>
                <c:pt idx="12">
                  <c:v>71.4027416666666</c:v>
                </c:pt>
                <c:pt idx="13">
                  <c:v>67.6695972222222</c:v>
                </c:pt>
                <c:pt idx="14">
                  <c:v>63.6248372222222</c:v>
                </c:pt>
                <c:pt idx="15">
                  <c:v>59.2684972222222</c:v>
                </c:pt>
                <c:pt idx="16">
                  <c:v>54.6006061111111</c:v>
                </c:pt>
                <c:pt idx="17">
                  <c:v>49.6211872222222</c:v>
                </c:pt>
                <c:pt idx="18">
                  <c:v>44.3302588888889</c:v>
                </c:pt>
                <c:pt idx="19">
                  <c:v>38.7278377777778</c:v>
                </c:pt>
                <c:pt idx="20">
                  <c:v>32.8518533333333</c:v>
                </c:pt>
                <c:pt idx="21">
                  <c:v>5.48014888888885</c:v>
                </c:pt>
                <c:pt idx="22">
                  <c:v>0</c:v>
                </c:pt>
                <c:pt idx="23">
                  <c:v>-4.31112246350337</c:v>
                </c:pt>
                <c:pt idx="24">
                  <c:v/>
                </c:pt>
                <c:pt idx="25">
                  <c:v/>
                </c:pt>
                <c:pt idx="26">
                  <c:v>-0.579605736083167</c:v>
                </c:pt>
                <c:pt idx="27">
                  <c:v>-0.501765304512048</c:v>
                </c:pt>
                <c:pt idx="28">
                  <c:v>-0.462426356004897</c:v>
                </c:pt>
                <c:pt idx="29">
                  <c:v>-0.442471236768384</c:v>
                </c:pt>
                <c:pt idx="30">
                  <c:v>-0.42902328013588</c:v>
                </c:pt>
                <c:pt idx="31">
                  <c:v>-0.418733597218449</c:v>
                </c:pt>
                <c:pt idx="32">
                  <c:v>-0.410279965793848</c:v>
                </c:pt>
                <c:pt idx="33">
                  <c:v>-0.403010163639962</c:v>
                </c:pt>
                <c:pt idx="34">
                  <c:v>-0.396554190756632</c:v>
                </c:pt>
                <c:pt idx="35">
                  <c:v>-0.390684824921735</c:v>
                </c:pt>
                <c:pt idx="36">
                  <c:v>-0.385253732801985</c:v>
                </c:pt>
                <c:pt idx="37">
                  <c:v>-0.380158692175073</c:v>
                </c:pt>
                <c:pt idx="38">
                  <c:v/>
                </c:pt>
              </c:numCache>
            </c:numRef>
          </c:yVal>
        </c:ser>
        <c:ser>
          <c:idx val="3"/>
          <c:order val="3"/>
          <c:tx>
            <c:strRef>
              <c:f>'SS Rod Radial Profile_20'!$B$45:$B$45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'SS Rod Radial Profile_20'!$C$41:$AO$41</c:f>
              <c:numCache>
                <c:formatCode>General</c:formatCode>
                <c:ptCount val="39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  <c:pt idx="11">
                  <c:v>0.220803765606438</c:v>
                </c:pt>
                <c:pt idx="12">
                  <c:v>0.241787183171665</c:v>
                </c:pt>
                <c:pt idx="13">
                  <c:v>0.26277406989279</c:v>
                </c:pt>
                <c:pt idx="14">
                  <c:v>0.283763656044571</c:v>
                </c:pt>
                <c:pt idx="15">
                  <c:v>0.304755383869375</c:v>
                </c:pt>
                <c:pt idx="16">
                  <c:v>0.325748839329913</c:v>
                </c:pt>
                <c:pt idx="17">
                  <c:v>0.346743708629342</c:v>
                </c:pt>
                <c:pt idx="18">
                  <c:v>0.367739749612553</c:v>
                </c:pt>
                <c:pt idx="19">
                  <c:v>0.388736772428338</c:v>
                </c:pt>
                <c:pt idx="20">
                  <c:v>0.409600000000001</c:v>
                </c:pt>
                <c:pt idx="21">
                  <c:v>0.418000000000001</c:v>
                </c:pt>
                <c:pt idx="22">
                  <c:v>0.474999999999999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xVal>
          <c:yVal>
            <c:numRef>
              <c:f>'SS Rod Radial Profile_20'!$C$45:$AO$45</c:f>
              <c:numCache>
                <c:formatCode>General</c:formatCode>
                <c:ptCount val="39"/>
                <c:pt idx="0">
                  <c:v>91.8038055555556</c:v>
                </c:pt>
                <c:pt idx="1">
                  <c:v>91.8038055555556</c:v>
                </c:pt>
                <c:pt idx="2">
                  <c:v>91.5317827777778</c:v>
                </c:pt>
                <c:pt idx="3">
                  <c:v>90.9290144444445</c:v>
                </c:pt>
                <c:pt idx="4">
                  <c:v>90.0083772222222</c:v>
                </c:pt>
                <c:pt idx="5">
                  <c:v>88.77322</c:v>
                </c:pt>
                <c:pt idx="6">
                  <c:v>87.224865</c:v>
                </c:pt>
                <c:pt idx="7">
                  <c:v>85.3639644444444</c:v>
                </c:pt>
                <c:pt idx="8">
                  <c:v>83.1908883333334</c:v>
                </c:pt>
                <c:pt idx="9">
                  <c:v>80.7058638888889</c:v>
                </c:pt>
                <c:pt idx="10">
                  <c:v>77.9090394444444</c:v>
                </c:pt>
                <c:pt idx="11">
                  <c:v>74.8005172222222</c:v>
                </c:pt>
                <c:pt idx="12">
                  <c:v>71.3803672222223</c:v>
                </c:pt>
                <c:pt idx="13">
                  <c:v>67.6486411111111</c:v>
                </c:pt>
                <c:pt idx="14">
                  <c:v>63.605375</c:v>
                </c:pt>
                <c:pt idx="15">
                  <c:v>59.2505955555556</c:v>
                </c:pt>
                <c:pt idx="16">
                  <c:v>54.5843211111111</c:v>
                </c:pt>
                <c:pt idx="17">
                  <c:v>49.606565</c:v>
                </c:pt>
                <c:pt idx="18">
                  <c:v>44.3173361111111</c:v>
                </c:pt>
                <c:pt idx="19">
                  <c:v>38.71664</c:v>
                </c:pt>
                <c:pt idx="20">
                  <c:v>32.8423844444445</c:v>
                </c:pt>
                <c:pt idx="21">
                  <c:v>5.4785361111111</c:v>
                </c:pt>
                <c:pt idx="22">
                  <c:v>0</c:v>
                </c:pt>
                <c:pt idx="23">
                  <c:v>-4.30956024128111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</c:numCache>
            </c:numRef>
          </c:yVal>
        </c:ser>
        <c:axId val="38011922"/>
        <c:axId val="20226009"/>
      </c:scatterChart>
      <c:valAx>
        <c:axId val="38011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Radius [cm]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226009"/>
        <c:crossesAt val="0"/>
      </c:valAx>
      <c:valAx>
        <c:axId val="202260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900">
                    <a:latin typeface="Arial"/>
                  </a:rPr>
                  <a:t>Temperature [C]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01192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'SS Rod Radial Profile_20'!$AB$42:$AB$42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000000"/>
            </a:solidFill>
            <a:ln w="28800">
              <a:solidFill>
                <a:srgbClr val="000000"/>
              </a:solidFill>
              <a:round/>
            </a:ln>
          </c:spPr>
          <c:marker>
            <c:size val="6"/>
          </c:marker>
          <c:xVal>
            <c:numRef>
              <c:f>'SS Rod Radial Profile_20'!$C$41:$M$41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xVal>
          <c:yVal>
            <c:numRef>
              <c:f>'SS Rod Radial Profile_20'!$R$42:$AD$42</c:f>
              <c:numCache>
                <c:formatCode>General</c:formatCode>
                <c:ptCount val="13"/>
                <c:pt idx="0">
                  <c:v>59.6125896001515</c:v>
                </c:pt>
                <c:pt idx="1">
                  <c:v>54.9421637058781</c:v>
                </c:pt>
                <c:pt idx="2">
                  <c:v>49.9603760853194</c:v>
                </c:pt>
                <c:pt idx="3">
                  <c:v>44.6672267384753</c:v>
                </c:pt>
                <c:pt idx="4">
                  <c:v>39.0627156653471</c:v>
                </c:pt>
                <c:pt idx="5">
                  <c:v>33.1857630817195</c:v>
                </c:pt>
                <c:pt idx="6">
                  <c:v>5.81405867843346</c:v>
                </c:pt>
                <c:pt idx="7">
                  <c:v>0</c:v>
                </c:pt>
                <c:pt idx="8">
                  <c:v>-3.96106367480532</c:v>
                </c:pt>
                <c:pt idx="9">
                  <c:v/>
                </c:pt>
                <c:pt idx="10">
                  <c:v/>
                </c:pt>
                <c:pt idx="11">
                  <c:v>-0.554327402749792</c:v>
                </c:pt>
                <c:pt idx="12">
                  <c:v>-0.476486971178687</c:v>
                </c:pt>
              </c:numCache>
            </c:numRef>
          </c:yVal>
        </c:ser>
        <c:ser>
          <c:idx val="1"/>
          <c:order val="1"/>
          <c:tx>
            <c:strRef>
              <c:f>'SS Rod Radial Profile_20'!$AB$43:$AB$43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6"/>
          </c:marker>
          <c:xVal>
            <c:numRef>
              <c:f>'SS Rod Radial Profile_20'!$C$41:$M$41</c:f>
              <c:numCache>
                <c:formatCode>General</c:formatCode>
                <c:ptCount val="11"/>
                <c:pt idx="0">
                  <c:v>0</c:v>
                </c:pt>
                <c:pt idx="1">
                  <c:v>0.014852868593539</c:v>
                </c:pt>
                <c:pt idx="2">
                  <c:v>0.0332120238360248</c:v>
                </c:pt>
                <c:pt idx="3">
                  <c:v>0.0535527793017334</c:v>
                </c:pt>
                <c:pt idx="4">
                  <c:v>0.0742643429676947</c:v>
                </c:pt>
                <c:pt idx="5">
                  <c:v>0.0951047628866946</c:v>
                </c:pt>
                <c:pt idx="6">
                  <c:v>0.116004612118972</c:v>
                </c:pt>
                <c:pt idx="7">
                  <c:v>0.136936682316462</c:v>
                </c:pt>
                <c:pt idx="8">
                  <c:v>0.157888158886706</c:v>
                </c:pt>
                <c:pt idx="9">
                  <c:v>0.178852221935473</c:v>
                </c:pt>
                <c:pt idx="10">
                  <c:v>0.199824910078062</c:v>
                </c:pt>
              </c:numCache>
            </c:numRef>
          </c:xVal>
          <c:yVal>
            <c:numRef>
              <c:f>'SS Rod Radial Profile_20'!$R$43:$AD$43</c:f>
              <c:numCache>
                <c:formatCode>General</c:formatCode>
                <c:ptCount val="13"/>
                <c:pt idx="0">
                  <c:v>59.26527</c:v>
                </c:pt>
                <c:pt idx="1">
                  <c:v>54.5976705555556</c:v>
                </c:pt>
                <c:pt idx="2">
                  <c:v>49.6185511111111</c:v>
                </c:pt>
                <c:pt idx="3">
                  <c:v>44.3279294444445</c:v>
                </c:pt>
                <c:pt idx="4">
                  <c:v>38.7258188888889</c:v>
                </c:pt>
                <c:pt idx="5">
                  <c:v>32.8501466666667</c:v>
                </c:pt>
                <c:pt idx="6">
                  <c:v>5.47985833333333</c:v>
                </c:pt>
                <c:pt idx="7">
                  <c:v>0</c:v>
                </c:pt>
                <c:pt idx="8">
                  <c:v>-4.31084079683665</c:v>
                </c:pt>
                <c:pt idx="9">
                  <c:v/>
                </c:pt>
                <c:pt idx="10">
                  <c:v/>
                </c:pt>
                <c:pt idx="11">
                  <c:v>-0.548768513860992</c:v>
                </c:pt>
                <c:pt idx="12">
                  <c:v>-0.470928082289873</c:v>
                </c:pt>
              </c:numCache>
            </c:numRef>
          </c:yVal>
        </c:ser>
        <c:axId val="72806710"/>
        <c:axId val="72167222"/>
      </c:scatterChart>
      <c:valAx>
        <c:axId val="7280671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167222"/>
        <c:crossesAt val="0"/>
      </c:valAx>
      <c:valAx>
        <c:axId val="721672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80671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Fuel_Centerline_Temperature!$L$8:$L$8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ff420e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Fuel_Centerline_Temperature!$L$9:$L$11</c:f>
              <c:numCache>
                <c:formatCode>General</c:formatCode>
                <c:ptCount val="3"/>
                <c:pt idx="0">
                  <c:v>3.25133518052772</c:v>
                </c:pt>
                <c:pt idx="1">
                  <c:v>1.12463295830548</c:v>
                </c:pt>
                <c:pt idx="2">
                  <c:v>0.554327402749905</c:v>
                </c:pt>
              </c:numCache>
            </c:numRef>
          </c:yVal>
        </c:ser>
        <c:ser>
          <c:idx val="1"/>
          <c:order val="1"/>
          <c:tx>
            <c:strRef>
              <c:f>Fuel_Centerline_Temperature!$M$8:$M$8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Fuel_Centerline_Temperature!$M$9:$M$11</c:f>
              <c:numCache>
                <c:formatCode>General</c:formatCode>
                <c:ptCount val="3"/>
                <c:pt idx="0">
                  <c:v>3.24651740274992</c:v>
                </c:pt>
                <c:pt idx="1">
                  <c:v>1.11922518052771</c:v>
                </c:pt>
                <c:pt idx="2">
                  <c:v>0.579605736083266</c:v>
                </c:pt>
              </c:numCache>
            </c:numRef>
          </c:yVal>
        </c:ser>
        <c:ser>
          <c:idx val="2"/>
          <c:order val="2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Fuel_Centerline_Temperature!$E$9:$E$11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3.27429629163878</c:v>
                </c:pt>
                <c:pt idx="1">
                  <c:v>1.14943795830544</c:v>
                </c:pt>
                <c:pt idx="2">
                  <c:v>0.579605736083266</c:v>
                </c:pt>
              </c:numCache>
            </c:numRef>
          </c:yVal>
        </c:ser>
        <c:axId val="393454"/>
        <c:axId val="3886646"/>
      </c:scatterChart>
      <c:valAx>
        <c:axId val="39345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886646"/>
        <c:crossesAt val="0"/>
      </c:valAx>
      <c:valAx>
        <c:axId val="38866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9345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Fuel_Centerline_Temperature!$L$8:$L$8</c:f>
              <c:strCache>
                <c:ptCount val="1"/>
                <c:pt idx="0">
                  <c:v>Semi-implicit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trendline>
            <c:spPr>
              <a:ln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Fuel_Centerline_Temperature!$K$9:$K$11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Fuel_Centerline_Temperature!$L$9:$L$11</c:f>
              <c:numCache>
                <c:formatCode>General</c:formatCode>
                <c:ptCount val="3"/>
                <c:pt idx="0">
                  <c:v>3.25133518052772</c:v>
                </c:pt>
                <c:pt idx="1">
                  <c:v>1.12463295830548</c:v>
                </c:pt>
                <c:pt idx="2">
                  <c:v>0.554327402749905</c:v>
                </c:pt>
              </c:numCache>
            </c:numRef>
          </c:yVal>
        </c:ser>
        <c:ser>
          <c:idx val="1"/>
          <c:order val="1"/>
          <c:tx>
            <c:strRef>
              <c:f>Fuel_Centerline_Temperature!$M$8:$M$8</c:f>
              <c:strCache>
                <c:ptCount val="1"/>
                <c:pt idx="0">
                  <c:v>Implicit SS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Fuel_Centerline_Temperature!$K$9:$K$11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Fuel_Centerline_Temperature!$M$9:$M$11</c:f>
              <c:numCache>
                <c:formatCode>General</c:formatCode>
                <c:ptCount val="3"/>
                <c:pt idx="0">
                  <c:v>3.24651740274992</c:v>
                </c:pt>
                <c:pt idx="1">
                  <c:v>1.11922518052771</c:v>
                </c:pt>
                <c:pt idx="2">
                  <c:v>0.579605736083266</c:v>
                </c:pt>
              </c:numCache>
            </c:numRef>
          </c:yVal>
        </c:ser>
        <c:ser>
          <c:idx val="2"/>
          <c:order val="2"/>
          <c:tx>
            <c:strRef>
              <c:f>Fuel_Centerline_Temperature!$N$8:$N$8</c:f>
              <c:strCache>
                <c:ptCount val="1"/>
                <c:pt idx="0">
                  <c:v>Implicit Trans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6"/>
          </c:marker>
          <c:xVal>
            <c:numRef>
              <c:f>Fuel_Centerline_Temperature!$K$9:$K$11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20</c:v>
                </c:pt>
              </c:numCache>
            </c:numRef>
          </c:xVal>
          <c:yVal>
            <c:numRef>
              <c:f>Fuel_Centerline_Temperature!$N$9:$N$11</c:f>
              <c:numCache>
                <c:formatCode>General</c:formatCode>
                <c:ptCount val="3"/>
                <c:pt idx="0">
                  <c:v>3.27429629163878</c:v>
                </c:pt>
                <c:pt idx="1">
                  <c:v>1.14943795830544</c:v>
                </c:pt>
                <c:pt idx="2">
                  <c:v>0.579605736083266</c:v>
                </c:pt>
              </c:numCache>
            </c:numRef>
          </c:yVal>
        </c:ser>
        <c:axId val="79949204"/>
        <c:axId val="75564025"/>
      </c:scatterChart>
      <c:valAx>
        <c:axId val="799492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5564025"/>
        <c:crossesAt val="0"/>
      </c:valAx>
      <c:valAx>
        <c:axId val="755640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994920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1.xml"/><Relationship Id="rId2" Type="http://schemas.openxmlformats.org/officeDocument/2006/relationships/chart" Target="../charts/chart172.xml"/><Relationship Id="rId3" Type="http://schemas.openxmlformats.org/officeDocument/2006/relationships/chart" Target="../charts/chart173.xml"/><Relationship Id="rId4" Type="http://schemas.openxmlformats.org/officeDocument/2006/relationships/chart" Target="../charts/chart174.xml"/><Relationship Id="rId5" Type="http://schemas.openxmlformats.org/officeDocument/2006/relationships/chart" Target="../charts/chart175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<Relationship Id="rId3" Type="http://schemas.openxmlformats.org/officeDocument/2006/relationships/chart" Target="../charts/chart178.xml"/><Relationship Id="rId4" Type="http://schemas.openxmlformats.org/officeDocument/2006/relationships/chart" Target="../charts/chart179.xml"/><Relationship Id="rId5" Type="http://schemas.openxmlformats.org/officeDocument/2006/relationships/chart" Target="../charts/chart18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81.xml"/><Relationship Id="rId2" Type="http://schemas.openxmlformats.org/officeDocument/2006/relationships/chart" Target="../charts/chart182.xml"/><Relationship Id="rId3" Type="http://schemas.openxmlformats.org/officeDocument/2006/relationships/chart" Target="../charts/chart183.xml"/><Relationship Id="rId4" Type="http://schemas.openxmlformats.org/officeDocument/2006/relationships/chart" Target="../charts/chart184.xml"/><Relationship Id="rId5" Type="http://schemas.openxmlformats.org/officeDocument/2006/relationships/chart" Target="../charts/chart18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86.xml"/><Relationship Id="rId2" Type="http://schemas.openxmlformats.org/officeDocument/2006/relationships/chart" Target="../charts/chart18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543240</xdr:colOff>
      <xdr:row>66</xdr:row>
      <xdr:rowOff>2160</xdr:rowOff>
    </xdr:from>
    <xdr:to>
      <xdr:col>6</xdr:col>
      <xdr:colOff>109440</xdr:colOff>
      <xdr:row>83</xdr:row>
      <xdr:rowOff>23040</xdr:rowOff>
    </xdr:to>
    <xdr:graphicFrame>
      <xdr:nvGraphicFramePr>
        <xdr:cNvPr id="0" name=""/>
        <xdr:cNvGraphicFramePr/>
      </xdr:nvGraphicFramePr>
      <xdr:xfrm>
        <a:off x="543240" y="10730880"/>
        <a:ext cx="521244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373320</xdr:colOff>
      <xdr:row>62</xdr:row>
      <xdr:rowOff>88560</xdr:rowOff>
    </xdr:from>
    <xdr:to>
      <xdr:col>20</xdr:col>
      <xdr:colOff>198000</xdr:colOff>
      <xdr:row>79</xdr:row>
      <xdr:rowOff>99000</xdr:rowOff>
    </xdr:to>
    <xdr:graphicFrame>
      <xdr:nvGraphicFramePr>
        <xdr:cNvPr id="1" name=""/>
        <xdr:cNvGraphicFramePr/>
      </xdr:nvGraphicFramePr>
      <xdr:xfrm>
        <a:off x="12521880" y="10167120"/>
        <a:ext cx="55281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691560</xdr:colOff>
      <xdr:row>64</xdr:row>
      <xdr:rowOff>1800</xdr:rowOff>
    </xdr:from>
    <xdr:to>
      <xdr:col>13</xdr:col>
      <xdr:colOff>693360</xdr:colOff>
      <xdr:row>81</xdr:row>
      <xdr:rowOff>23040</xdr:rowOff>
    </xdr:to>
    <xdr:graphicFrame>
      <xdr:nvGraphicFramePr>
        <xdr:cNvPr id="2" name=""/>
        <xdr:cNvGraphicFramePr/>
      </xdr:nvGraphicFramePr>
      <xdr:xfrm>
        <a:off x="7150680" y="10405440"/>
        <a:ext cx="487836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93240</xdr:colOff>
      <xdr:row>84</xdr:row>
      <xdr:rowOff>12960</xdr:rowOff>
    </xdr:from>
    <xdr:to>
      <xdr:col>7</xdr:col>
      <xdr:colOff>55440</xdr:colOff>
      <xdr:row>108</xdr:row>
      <xdr:rowOff>34200</xdr:rowOff>
    </xdr:to>
    <xdr:graphicFrame>
      <xdr:nvGraphicFramePr>
        <xdr:cNvPr id="3" name=""/>
        <xdr:cNvGraphicFramePr/>
      </xdr:nvGraphicFramePr>
      <xdr:xfrm>
        <a:off x="93240" y="13667760"/>
        <a:ext cx="6421320" cy="39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21600</xdr:colOff>
      <xdr:row>81</xdr:row>
      <xdr:rowOff>45360</xdr:rowOff>
    </xdr:from>
    <xdr:to>
      <xdr:col>14</xdr:col>
      <xdr:colOff>673200</xdr:colOff>
      <xdr:row>98</xdr:row>
      <xdr:rowOff>55800</xdr:rowOff>
    </xdr:to>
    <xdr:graphicFrame>
      <xdr:nvGraphicFramePr>
        <xdr:cNvPr id="4" name=""/>
        <xdr:cNvGraphicFramePr/>
      </xdr:nvGraphicFramePr>
      <xdr:xfrm>
        <a:off x="7293600" y="13212720"/>
        <a:ext cx="55281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653040</xdr:colOff>
      <xdr:row>71</xdr:row>
      <xdr:rowOff>66960</xdr:rowOff>
    </xdr:from>
    <xdr:to>
      <xdr:col>20</xdr:col>
      <xdr:colOff>477720</xdr:colOff>
      <xdr:row>88</xdr:row>
      <xdr:rowOff>77400</xdr:rowOff>
    </xdr:to>
    <xdr:graphicFrame>
      <xdr:nvGraphicFramePr>
        <xdr:cNvPr id="5" name=""/>
        <xdr:cNvGraphicFramePr/>
      </xdr:nvGraphicFramePr>
      <xdr:xfrm>
        <a:off x="12801600" y="11608560"/>
        <a:ext cx="55281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54000</xdr:colOff>
      <xdr:row>68</xdr:row>
      <xdr:rowOff>110520</xdr:rowOff>
    </xdr:from>
    <xdr:to>
      <xdr:col>14</xdr:col>
      <xdr:colOff>55800</xdr:colOff>
      <xdr:row>85</xdr:row>
      <xdr:rowOff>131760</xdr:rowOff>
    </xdr:to>
    <xdr:graphicFrame>
      <xdr:nvGraphicFramePr>
        <xdr:cNvPr id="6" name=""/>
        <xdr:cNvGraphicFramePr/>
      </xdr:nvGraphicFramePr>
      <xdr:xfrm>
        <a:off x="7326000" y="11164320"/>
        <a:ext cx="487836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312840</xdr:colOff>
      <xdr:row>79</xdr:row>
      <xdr:rowOff>132120</xdr:rowOff>
    </xdr:from>
    <xdr:to>
      <xdr:col>7</xdr:col>
      <xdr:colOff>275040</xdr:colOff>
      <xdr:row>103</xdr:row>
      <xdr:rowOff>153360</xdr:rowOff>
    </xdr:to>
    <xdr:graphicFrame>
      <xdr:nvGraphicFramePr>
        <xdr:cNvPr id="7" name=""/>
        <xdr:cNvGraphicFramePr/>
      </xdr:nvGraphicFramePr>
      <xdr:xfrm>
        <a:off x="312840" y="12974040"/>
        <a:ext cx="6421320" cy="39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65160</xdr:colOff>
      <xdr:row>87</xdr:row>
      <xdr:rowOff>99720</xdr:rowOff>
    </xdr:from>
    <xdr:to>
      <xdr:col>14</xdr:col>
      <xdr:colOff>716760</xdr:colOff>
      <xdr:row>104</xdr:row>
      <xdr:rowOff>110160</xdr:rowOff>
    </xdr:to>
    <xdr:graphicFrame>
      <xdr:nvGraphicFramePr>
        <xdr:cNvPr id="8" name=""/>
        <xdr:cNvGraphicFramePr/>
      </xdr:nvGraphicFramePr>
      <xdr:xfrm>
        <a:off x="7337160" y="14242320"/>
        <a:ext cx="55281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36000</xdr:colOff>
      <xdr:row>45</xdr:row>
      <xdr:rowOff>36360</xdr:rowOff>
    </xdr:from>
    <xdr:to>
      <xdr:col>7</xdr:col>
      <xdr:colOff>149040</xdr:colOff>
      <xdr:row>65</xdr:row>
      <xdr:rowOff>24840</xdr:rowOff>
    </xdr:to>
    <xdr:graphicFrame>
      <xdr:nvGraphicFramePr>
        <xdr:cNvPr id="9" name=""/>
        <xdr:cNvGraphicFramePr/>
      </xdr:nvGraphicFramePr>
      <xdr:xfrm>
        <a:off x="848520" y="7351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619920</xdr:colOff>
      <xdr:row>68</xdr:row>
      <xdr:rowOff>2520</xdr:rowOff>
    </xdr:from>
    <xdr:to>
      <xdr:col>6</xdr:col>
      <xdr:colOff>186120</xdr:colOff>
      <xdr:row>85</xdr:row>
      <xdr:rowOff>23400</xdr:rowOff>
    </xdr:to>
    <xdr:graphicFrame>
      <xdr:nvGraphicFramePr>
        <xdr:cNvPr id="10" name=""/>
        <xdr:cNvGraphicFramePr/>
      </xdr:nvGraphicFramePr>
      <xdr:xfrm>
        <a:off x="619920" y="11056320"/>
        <a:ext cx="5212440" cy="2784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64440</xdr:colOff>
      <xdr:row>66</xdr:row>
      <xdr:rowOff>13320</xdr:rowOff>
    </xdr:from>
    <xdr:to>
      <xdr:col>22</xdr:col>
      <xdr:colOff>302400</xdr:colOff>
      <xdr:row>83</xdr:row>
      <xdr:rowOff>23400</xdr:rowOff>
    </xdr:to>
    <xdr:graphicFrame>
      <xdr:nvGraphicFramePr>
        <xdr:cNvPr id="11" name=""/>
        <xdr:cNvGraphicFramePr/>
      </xdr:nvGraphicFramePr>
      <xdr:xfrm>
        <a:off x="14252040" y="10742040"/>
        <a:ext cx="55281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185760</xdr:colOff>
      <xdr:row>73</xdr:row>
      <xdr:rowOff>23760</xdr:rowOff>
    </xdr:from>
    <xdr:to>
      <xdr:col>14</xdr:col>
      <xdr:colOff>187560</xdr:colOff>
      <xdr:row>90</xdr:row>
      <xdr:rowOff>45000</xdr:rowOff>
    </xdr:to>
    <xdr:graphicFrame>
      <xdr:nvGraphicFramePr>
        <xdr:cNvPr id="12" name=""/>
        <xdr:cNvGraphicFramePr/>
      </xdr:nvGraphicFramePr>
      <xdr:xfrm>
        <a:off x="7457760" y="11890440"/>
        <a:ext cx="4878360" cy="278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225000</xdr:colOff>
      <xdr:row>91</xdr:row>
      <xdr:rowOff>78120</xdr:rowOff>
    </xdr:from>
    <xdr:to>
      <xdr:col>7</xdr:col>
      <xdr:colOff>187200</xdr:colOff>
      <xdr:row>115</xdr:row>
      <xdr:rowOff>99720</xdr:rowOff>
    </xdr:to>
    <xdr:graphicFrame>
      <xdr:nvGraphicFramePr>
        <xdr:cNvPr id="13" name=""/>
        <xdr:cNvGraphicFramePr/>
      </xdr:nvGraphicFramePr>
      <xdr:xfrm>
        <a:off x="225000" y="14870880"/>
        <a:ext cx="6421320" cy="392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241200</xdr:colOff>
      <xdr:row>89</xdr:row>
      <xdr:rowOff>23760</xdr:rowOff>
    </xdr:from>
    <xdr:to>
      <xdr:col>15</xdr:col>
      <xdr:colOff>79920</xdr:colOff>
      <xdr:row>106</xdr:row>
      <xdr:rowOff>34200</xdr:rowOff>
    </xdr:to>
    <xdr:graphicFrame>
      <xdr:nvGraphicFramePr>
        <xdr:cNvPr id="14" name=""/>
        <xdr:cNvGraphicFramePr/>
      </xdr:nvGraphicFramePr>
      <xdr:xfrm>
        <a:off x="7513200" y="14491440"/>
        <a:ext cx="5528160" cy="277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81000</xdr:colOff>
      <xdr:row>1</xdr:row>
      <xdr:rowOff>124560</xdr:rowOff>
    </xdr:from>
    <xdr:to>
      <xdr:col>30</xdr:col>
      <xdr:colOff>150480</xdr:colOff>
      <xdr:row>21</xdr:row>
      <xdr:rowOff>112680</xdr:rowOff>
    </xdr:to>
    <xdr:graphicFrame>
      <xdr:nvGraphicFramePr>
        <xdr:cNvPr id="15" name=""/>
        <xdr:cNvGraphicFramePr/>
      </xdr:nvGraphicFramePr>
      <xdr:xfrm>
        <a:off x="21106800" y="28692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18000</xdr:colOff>
      <xdr:row>24</xdr:row>
      <xdr:rowOff>132480</xdr:rowOff>
    </xdr:from>
    <xdr:to>
      <xdr:col>17</xdr:col>
      <xdr:colOff>347760</xdr:colOff>
      <xdr:row>44</xdr:row>
      <xdr:rowOff>121320</xdr:rowOff>
    </xdr:to>
    <xdr:graphicFrame>
      <xdr:nvGraphicFramePr>
        <xdr:cNvPr id="16" name=""/>
        <xdr:cNvGraphicFramePr/>
      </xdr:nvGraphicFramePr>
      <xdr:xfrm>
        <a:off x="10735920" y="4033800"/>
        <a:ext cx="5761080" cy="324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7" activeCellId="0" sqref="A27"/>
    </sheetView>
  </sheetViews>
  <sheetFormatPr defaultRowHeight="12.8"/>
  <cols>
    <col collapsed="false" hidden="false" max="1" min="1" style="0" width="11.5204081632653"/>
    <col collapsed="false" hidden="false" max="2" min="2" style="0" width="13.2091836734694"/>
    <col collapsed="false" hidden="false" max="3" min="3" style="1" width="15.219387755102"/>
    <col collapsed="false" hidden="false" max="4" min="4" style="1" width="14.6581632653061"/>
    <col collapsed="false" hidden="false" max="5" min="5" style="1" width="11.5204081632653"/>
    <col collapsed="false" hidden="false" max="6" min="6" style="0" width="11.5204081632653"/>
    <col collapsed="false" hidden="false" max="7" min="7" style="0" width="18.4591836734694"/>
    <col collapsed="false" hidden="false" max="1025" min="8" style="0" width="11.5204081632653"/>
  </cols>
  <sheetData>
    <row r="1" customFormat="false" ht="12.8" hidden="false" customHeight="false" outlineLevel="0" collapsed="false">
      <c r="C1" s="0"/>
      <c r="D1" s="0"/>
      <c r="E1" s="0"/>
      <c r="G1" s="2"/>
    </row>
    <row r="2" customFormat="false" ht="12.8" hidden="false" customHeight="false" outlineLevel="0" collapsed="false">
      <c r="C2" s="0"/>
      <c r="D2" s="0"/>
      <c r="E2" s="0"/>
      <c r="G2" s="2"/>
      <c r="L2" s="1" t="n">
        <v>1</v>
      </c>
      <c r="M2" s="1" t="s">
        <v>0</v>
      </c>
      <c r="N2" s="1" t="s">
        <v>1</v>
      </c>
    </row>
    <row r="3" customFormat="false" ht="12.8" hidden="false" customHeight="false" outlineLevel="0" collapsed="false">
      <c r="C3" s="3" t="s">
        <v>2</v>
      </c>
      <c r="D3" s="0"/>
      <c r="E3" s="0"/>
      <c r="G3" s="4" t="s">
        <v>3</v>
      </c>
      <c r="L3" s="4" t="s">
        <v>4</v>
      </c>
    </row>
    <row r="4" customFormat="false" ht="12.8" hidden="false" customHeight="false" outlineLevel="0" collapsed="false">
      <c r="C4" s="1" t="s">
        <v>5</v>
      </c>
      <c r="D4" s="1" t="n">
        <v>10</v>
      </c>
      <c r="E4" s="0"/>
      <c r="G4" s="0" t="s">
        <v>6</v>
      </c>
      <c r="H4" s="5" t="n">
        <v>5.377069796</v>
      </c>
      <c r="I4" s="0" t="s">
        <v>7</v>
      </c>
      <c r="L4" s="1" t="s">
        <v>8</v>
      </c>
      <c r="M4" s="1" t="s">
        <v>9</v>
      </c>
      <c r="N4" s="1" t="s">
        <v>10</v>
      </c>
    </row>
    <row r="5" customFormat="false" ht="12.8" hidden="false" customHeight="false" outlineLevel="0" collapsed="false">
      <c r="C5" s="1" t="s">
        <v>11</v>
      </c>
      <c r="D5" s="1" t="n">
        <v>20</v>
      </c>
      <c r="E5" s="0"/>
      <c r="G5" s="0" t="s">
        <v>12</v>
      </c>
      <c r="H5" s="5" t="n">
        <v>14.83</v>
      </c>
      <c r="I5" s="0" t="s">
        <v>7</v>
      </c>
      <c r="L5" s="1" t="s">
        <v>13</v>
      </c>
      <c r="M5" s="1" t="s">
        <v>14</v>
      </c>
      <c r="N5" s="6" t="n">
        <v>1.05505585262</v>
      </c>
    </row>
    <row r="6" customFormat="false" ht="12.8" hidden="false" customHeight="false" outlineLevel="0" collapsed="false">
      <c r="C6" s="1" t="s">
        <v>15</v>
      </c>
      <c r="D6" s="1" t="n">
        <v>3.658</v>
      </c>
      <c r="E6" s="1" t="s">
        <v>16</v>
      </c>
      <c r="G6" s="0" t="s">
        <v>17</v>
      </c>
      <c r="H6" s="7" t="n">
        <v>10970.40457</v>
      </c>
      <c r="I6" s="0" t="s">
        <v>18</v>
      </c>
      <c r="L6" s="1" t="s">
        <v>19</v>
      </c>
      <c r="M6" s="1" t="s">
        <v>16</v>
      </c>
      <c r="N6" s="1" t="n">
        <f aca="false">12*0.0254</f>
        <v>0.3048</v>
      </c>
    </row>
    <row r="7" customFormat="false" ht="12.8" hidden="false" customHeight="false" outlineLevel="0" collapsed="false">
      <c r="C7" s="1" t="s">
        <v>20</v>
      </c>
      <c r="D7" s="1" t="n">
        <f aca="false">Problem_Setup!D6/Problem_Setup!D5</f>
        <v>0.1829</v>
      </c>
      <c r="E7" s="1" t="s">
        <v>16</v>
      </c>
      <c r="G7" s="0" t="s">
        <v>21</v>
      </c>
      <c r="H7" s="1" t="n">
        <v>8470.57</v>
      </c>
      <c r="I7" s="0" t="s">
        <v>18</v>
      </c>
      <c r="L7" s="1" t="s">
        <v>22</v>
      </c>
      <c r="M7" s="1" t="s">
        <v>23</v>
      </c>
      <c r="N7" s="1" t="n">
        <f aca="false">5/9</f>
        <v>0.555555555555556</v>
      </c>
    </row>
    <row r="8" customFormat="false" ht="12.8" hidden="false" customHeight="false" outlineLevel="0" collapsed="false">
      <c r="C8" s="1" t="s">
        <v>24</v>
      </c>
      <c r="D8" s="1" t="n">
        <f aca="false">0.45</f>
        <v>0.45</v>
      </c>
      <c r="E8" s="1" t="s">
        <v>25</v>
      </c>
      <c r="G8" s="0" t="s">
        <v>26</v>
      </c>
      <c r="H8" s="8" t="n">
        <v>0.288947796</v>
      </c>
      <c r="I8" s="0" t="s">
        <v>27</v>
      </c>
      <c r="L8" s="0" t="s">
        <v>28</v>
      </c>
      <c r="M8" s="0" t="s">
        <v>29</v>
      </c>
      <c r="N8" s="0" t="n">
        <f aca="false">1000*t_btu_kw/(t_R_K*t_ft_m^2)/3600</f>
        <v>5.67826334111349</v>
      </c>
    </row>
    <row r="9" customFormat="false" ht="12.8" hidden="false" customHeight="false" outlineLevel="0" collapsed="false">
      <c r="C9" s="1" t="s">
        <v>30</v>
      </c>
      <c r="D9" s="1" t="n">
        <f aca="false">0.8192/2</f>
        <v>0.4096</v>
      </c>
      <c r="E9" s="1" t="s">
        <v>25</v>
      </c>
      <c r="G9" s="0" t="s">
        <v>31</v>
      </c>
      <c r="H9" s="8" t="n">
        <v>0.431</v>
      </c>
      <c r="I9" s="0" t="s">
        <v>27</v>
      </c>
      <c r="L9" s="0" t="s">
        <v>32</v>
      </c>
      <c r="M9" s="0" t="s">
        <v>33</v>
      </c>
      <c r="N9" s="0" t="n">
        <f aca="false">1/2.20462</f>
        <v>0.45359290943564</v>
      </c>
    </row>
    <row r="10" customFormat="false" ht="12.8" hidden="false" customHeight="false" outlineLevel="0" collapsed="false">
      <c r="C10" s="1" t="s">
        <v>34</v>
      </c>
      <c r="D10" s="9" t="n">
        <f aca="false">0.057</f>
        <v>0.057</v>
      </c>
      <c r="E10" s="1" t="s">
        <v>25</v>
      </c>
      <c r="G10" s="0" t="s">
        <v>35</v>
      </c>
      <c r="H10" s="7" t="n">
        <v>5678.3</v>
      </c>
      <c r="I10" s="0" t="s">
        <v>29</v>
      </c>
      <c r="L10" s="10"/>
    </row>
    <row r="11" customFormat="false" ht="12.8" hidden="false" customHeight="false" outlineLevel="0" collapsed="false">
      <c r="C11" s="1" t="s">
        <v>36</v>
      </c>
      <c r="D11" s="1" t="n">
        <f aca="false">D10-(D8-D9)</f>
        <v>0.0166</v>
      </c>
      <c r="E11" s="1" t="s">
        <v>16</v>
      </c>
    </row>
    <row r="12" customFormat="false" ht="12.8" hidden="false" customHeight="false" outlineLevel="0" collapsed="false">
      <c r="C12" s="1" t="s">
        <v>37</v>
      </c>
      <c r="D12" s="1" t="n">
        <v>1.26</v>
      </c>
      <c r="E12" s="1" t="s">
        <v>25</v>
      </c>
    </row>
    <row r="13" customFormat="false" ht="12.8" hidden="false" customHeight="false" outlineLevel="0" collapsed="false">
      <c r="C13" s="1" t="s">
        <v>38</v>
      </c>
      <c r="D13" s="11" t="n">
        <f aca="false">(2*PI()*'SS Rod Radial Profile_10'!O41/100*Problem_Setup!D7)</f>
        <v>0.00545867431524493</v>
      </c>
      <c r="E13" s="1" t="s">
        <v>39</v>
      </c>
      <c r="I13" s="7"/>
    </row>
    <row r="14" customFormat="false" ht="12.8" hidden="false" customHeight="false" outlineLevel="0" collapsed="false">
      <c r="C14" s="1" t="s">
        <v>40</v>
      </c>
      <c r="D14" s="12" t="n">
        <f aca="false">(D12^2-(PI()*D8^2))*10^-4</f>
        <v>9.51427487648067E-005</v>
      </c>
      <c r="E14" s="1" t="s">
        <v>39</v>
      </c>
    </row>
    <row r="15" customFormat="false" ht="12.8" hidden="false" customHeight="false" outlineLevel="0" collapsed="false">
      <c r="C15" s="1" t="s">
        <v>41</v>
      </c>
      <c r="D15" s="12" t="n">
        <f aca="false">2*PI()*D8/100</f>
        <v>0.0282743338823081</v>
      </c>
      <c r="E15" s="1" t="s">
        <v>16</v>
      </c>
      <c r="G15" s="4" t="s">
        <v>42</v>
      </c>
      <c r="M15" s="10"/>
    </row>
    <row r="16" customFormat="false" ht="12.8" hidden="false" customHeight="false" outlineLevel="0" collapsed="false">
      <c r="C16" s="1" t="s">
        <v>43</v>
      </c>
      <c r="D16" s="0"/>
      <c r="E16" s="1" t="s">
        <v>16</v>
      </c>
      <c r="G16" s="0" t="s">
        <v>44</v>
      </c>
      <c r="H16" s="9" t="n">
        <v>0.311103548387097</v>
      </c>
      <c r="I16" s="0" t="s">
        <v>45</v>
      </c>
    </row>
    <row r="17" customFormat="false" ht="12.8" hidden="false" customHeight="false" outlineLevel="0" collapsed="false">
      <c r="C17" s="1" t="s">
        <v>46</v>
      </c>
      <c r="D17" s="1" t="n">
        <f aca="false">A_surf*L_chan</f>
        <v>0.019967830645166</v>
      </c>
      <c r="E17" s="1" t="s">
        <v>47</v>
      </c>
      <c r="G17" s="0" t="s">
        <v>48</v>
      </c>
      <c r="H17" s="9" t="n">
        <v>0.038641217872043</v>
      </c>
      <c r="I17" s="0" t="s">
        <v>49</v>
      </c>
    </row>
    <row r="18" customFormat="false" ht="12.8" hidden="false" customHeight="false" outlineLevel="0" collapsed="false">
      <c r="C18" s="1" t="s">
        <v>50</v>
      </c>
      <c r="D18" s="1" t="n">
        <f aca="false">vol_fuel*Rho_fuel</f>
        <v>219.055180562715</v>
      </c>
      <c r="E18" s="1" t="s">
        <v>33</v>
      </c>
      <c r="G18" s="0" t="s">
        <v>51</v>
      </c>
      <c r="H18" s="9" t="n">
        <f aca="false">Problem_Setup!D6/(2*'SS Rod Radial Profile_10'!O41/100)</f>
        <v>385.052631578948</v>
      </c>
      <c r="J18" s="0" t="s">
        <v>52</v>
      </c>
    </row>
    <row r="19" customFormat="false" ht="12.8" hidden="false" customHeight="false" outlineLevel="0" collapsed="false">
      <c r="C19" s="0"/>
      <c r="D19" s="0"/>
      <c r="E19" s="0"/>
      <c r="G19" s="0" t="s">
        <v>53</v>
      </c>
      <c r="H19" s="9" t="n">
        <v>738.529978402469</v>
      </c>
    </row>
    <row r="20" customFormat="false" ht="12.8" hidden="false" customHeight="false" outlineLevel="0" collapsed="false">
      <c r="C20" s="0"/>
      <c r="D20" s="0"/>
      <c r="E20" s="0"/>
      <c r="G20" s="0" t="s">
        <v>54</v>
      </c>
      <c r="H20" s="13" t="n">
        <v>449606.212166619</v>
      </c>
      <c r="J20" s="0" t="s">
        <v>55</v>
      </c>
    </row>
    <row r="21" customFormat="false" ht="12.8" hidden="false" customHeight="false" outlineLevel="0" collapsed="false">
      <c r="C21" s="0"/>
      <c r="D21" s="0"/>
      <c r="E21" s="0"/>
      <c r="G21" s="0" t="s">
        <v>56</v>
      </c>
      <c r="H21" s="9" t="n">
        <v>0.913978807329116</v>
      </c>
      <c r="J21" s="0" t="s">
        <v>57</v>
      </c>
    </row>
    <row r="22" customFormat="false" ht="12.8" hidden="false" customHeight="false" outlineLevel="0" collapsed="false">
      <c r="C22" s="3" t="s">
        <v>58</v>
      </c>
      <c r="D22" s="0"/>
      <c r="E22" s="0"/>
      <c r="G22" s="0" t="s">
        <v>59</v>
      </c>
      <c r="H22" s="9" t="n">
        <v>1.65522355798267</v>
      </c>
      <c r="I22" s="0" t="s">
        <v>60</v>
      </c>
    </row>
    <row r="23" customFormat="false" ht="12.8" hidden="false" customHeight="false" outlineLevel="0" collapsed="false">
      <c r="A23" s="0" t="n">
        <f aca="false">D23/t_btu_kw*t_ft_m</f>
        <v>1.155578633086</v>
      </c>
      <c r="B23" s="0" t="s">
        <v>61</v>
      </c>
      <c r="C23" s="1" t="s">
        <v>62</v>
      </c>
      <c r="D23" s="1" t="n">
        <v>4</v>
      </c>
      <c r="E23" s="1" t="s">
        <v>63</v>
      </c>
      <c r="G23" s="0" t="s">
        <v>59</v>
      </c>
      <c r="H23" s="13" t="n">
        <f aca="false">Problem_Setup!H22*3600*t_htc</f>
        <v>33835.6629023055</v>
      </c>
      <c r="I23" s="0" t="s">
        <v>29</v>
      </c>
    </row>
    <row r="24" customFormat="false" ht="12.8" hidden="false" customHeight="false" outlineLevel="0" collapsed="false">
      <c r="A24" s="0" t="n">
        <f aca="false">D24/t_btu_kw</f>
        <v>13.8684601044245</v>
      </c>
      <c r="B24" s="0" t="s">
        <v>13</v>
      </c>
      <c r="C24" s="1" t="s">
        <v>64</v>
      </c>
      <c r="D24" s="8" t="n">
        <f aca="false">Problem_Setup!D23*Problem_Setup!D6</f>
        <v>14.632</v>
      </c>
      <c r="E24" s="1" t="s">
        <v>65</v>
      </c>
      <c r="G24" s="0" t="s">
        <v>66</v>
      </c>
      <c r="H24" s="9" t="n">
        <f aca="false">Problem_Setup!D24*1000/(Problem_Setup!H23*A_surf*Problem_Setup!D5)</f>
        <v>3.96106367480532</v>
      </c>
      <c r="I24" s="0" t="s">
        <v>23</v>
      </c>
    </row>
    <row r="25" customFormat="false" ht="12.8" hidden="false" customHeight="false" outlineLevel="0" collapsed="false">
      <c r="A25" s="0" t="n">
        <f aca="false">D25/t_btu_kw*t_ft_m^3</f>
        <v>2036.85287204149</v>
      </c>
      <c r="B25" s="0" t="s">
        <v>67</v>
      </c>
      <c r="C25" s="1" t="s">
        <v>68</v>
      </c>
      <c r="D25" s="1" t="n">
        <f aca="false">Problem_Setup!D24/(L_chan*PI()*((Problem_Setup!D9/100)^2))</f>
        <v>75890.9907779195</v>
      </c>
      <c r="E25" s="1" t="s">
        <v>69</v>
      </c>
    </row>
    <row r="26" customFormat="false" ht="12.8" hidden="false" customHeight="false" outlineLevel="0" collapsed="false">
      <c r="A26" s="0" t="n">
        <f aca="false">D26/t_btu_kw*t_ft_m^2</f>
        <v>236.032052731458</v>
      </c>
      <c r="B26" s="0" t="s">
        <v>70</v>
      </c>
      <c r="C26" s="1" t="s">
        <v>71</v>
      </c>
      <c r="D26" s="1" t="n">
        <f aca="false">Problem_Setup!D24/A_surf</f>
        <v>2680.50430470561</v>
      </c>
      <c r="E26" s="1" t="s">
        <v>72</v>
      </c>
    </row>
    <row r="27" customFormat="false" ht="12.8" hidden="false" customHeight="false" outlineLevel="0" collapsed="false">
      <c r="A27" s="0" t="n">
        <f aca="false">A23*D7/t_ft_m</f>
        <v>0.693423005221223</v>
      </c>
      <c r="B27" s="0" t="s">
        <v>73</v>
      </c>
      <c r="C27" s="0"/>
      <c r="D27" s="0"/>
      <c r="E27" s="0"/>
      <c r="G27" s="4" t="s">
        <v>74</v>
      </c>
    </row>
    <row r="28" customFormat="false" ht="12.8" hidden="false" customHeight="false" outlineLevel="0" collapsed="false">
      <c r="A28" s="0" t="n">
        <v>2036.85287436894</v>
      </c>
      <c r="C28" s="0"/>
      <c r="D28" s="0"/>
      <c r="E28" s="0"/>
      <c r="G28" s="0" t="s">
        <v>75</v>
      </c>
      <c r="H28" s="0" t="n">
        <f aca="false">1/(hgap*2*PI()*R_fuel/100*dz)</f>
        <v>0.0374134833287124</v>
      </c>
      <c r="I28" s="0" t="s">
        <v>76</v>
      </c>
    </row>
    <row r="29" customFormat="false" ht="12.8" hidden="false" customHeight="false" outlineLevel="0" collapsed="false">
      <c r="C29" s="3" t="s">
        <v>77</v>
      </c>
      <c r="D29" s="0"/>
      <c r="E29" s="0"/>
      <c r="G29" s="0" t="s">
        <v>78</v>
      </c>
      <c r="H29" s="0" t="n">
        <f aca="false">LN(R_rod/(R_rod-D10))/(2*PI()*dz*k_clad)</f>
        <v>0.00794704576057062</v>
      </c>
      <c r="I29" s="0" t="s">
        <v>76</v>
      </c>
    </row>
    <row r="30" customFormat="false" ht="12.8" hidden="false" customHeight="false" outlineLevel="0" collapsed="false">
      <c r="C30" s="1" t="s">
        <v>79</v>
      </c>
      <c r="D30" s="1" t="n">
        <v>0.3</v>
      </c>
      <c r="E30" s="1" t="s">
        <v>80</v>
      </c>
      <c r="G30" s="0" t="s">
        <v>81</v>
      </c>
      <c r="H30" s="0" t="n">
        <f aca="false">1/(A_surf*H23)</f>
        <v>0.0054142477785748</v>
      </c>
      <c r="I30" s="0" t="s">
        <v>76</v>
      </c>
    </row>
    <row r="31" customFormat="false" ht="12.8" hidden="false" customHeight="false" outlineLevel="0" collapsed="false">
      <c r="C31" s="1" t="s">
        <v>82</v>
      </c>
      <c r="D31" s="1" t="n">
        <v>16.5</v>
      </c>
      <c r="E31" s="1" t="s">
        <v>83</v>
      </c>
    </row>
    <row r="32" customFormat="false" ht="12.8" hidden="false" customHeight="false" outlineLevel="0" collapsed="false">
      <c r="C32" s="1" t="s">
        <v>84</v>
      </c>
      <c r="D32" s="1" t="n">
        <v>290</v>
      </c>
      <c r="E32" s="1" t="s">
        <v>85</v>
      </c>
      <c r="G32" s="4" t="s">
        <v>86</v>
      </c>
    </row>
    <row r="33" customFormat="false" ht="12.8" hidden="false" customHeight="false" outlineLevel="0" collapsed="false">
      <c r="C33" s="1" t="s">
        <v>87</v>
      </c>
      <c r="D33" s="1" t="n">
        <v>1283.8</v>
      </c>
      <c r="E33" s="1" t="s">
        <v>88</v>
      </c>
      <c r="G33" s="0" t="s">
        <v>89</v>
      </c>
      <c r="H33" s="0" t="n">
        <f aca="false">q_lin*dz*1000*H28</f>
        <v>27.371704403286</v>
      </c>
      <c r="I33" s="0" t="s">
        <v>23</v>
      </c>
    </row>
    <row r="34" customFormat="false" ht="12.8" hidden="false" customHeight="false" outlineLevel="0" collapsed="false">
      <c r="C34" s="1" t="s">
        <v>90</v>
      </c>
      <c r="D34" s="1" t="n">
        <v>5.2189</v>
      </c>
      <c r="E34" s="1" t="s">
        <v>91</v>
      </c>
      <c r="G34" s="0" t="s">
        <v>92</v>
      </c>
      <c r="H34" s="0" t="n">
        <f aca="false">q_lin*dz*1000*H29</f>
        <v>5.81405867843346</v>
      </c>
      <c r="I34" s="0" t="s">
        <v>23</v>
      </c>
    </row>
    <row r="35" customFormat="false" ht="12.8" hidden="false" customHeight="false" outlineLevel="0" collapsed="false">
      <c r="C35" s="1" t="s">
        <v>93</v>
      </c>
      <c r="D35" s="1" t="n">
        <v>0.58213</v>
      </c>
      <c r="E35" s="1" t="s">
        <v>94</v>
      </c>
      <c r="G35" s="0" t="s">
        <v>95</v>
      </c>
      <c r="H35" s="0" t="n">
        <f aca="false">q_lin*dz*1000*H30</f>
        <v>3.96106367480532</v>
      </c>
      <c r="I35" s="0" t="s">
        <v>23</v>
      </c>
    </row>
    <row r="36" customFormat="false" ht="12.8" hidden="false" customHeight="false" outlineLevel="0" collapsed="false">
      <c r="C36" s="1" t="s">
        <v>96</v>
      </c>
      <c r="D36" s="13" t="n">
        <v>9.2745E-005</v>
      </c>
      <c r="E36" s="1" t="s">
        <v>97</v>
      </c>
    </row>
    <row r="37" customFormat="false" ht="12.8" hidden="false" customHeight="false" outlineLevel="0" collapsed="false">
      <c r="A37" s="1" t="s">
        <v>98</v>
      </c>
      <c r="B37" s="1" t="n">
        <f aca="false">(D34+D38)/2</f>
        <v>5.32135</v>
      </c>
      <c r="C37" s="1" t="s">
        <v>99</v>
      </c>
      <c r="D37" s="1" t="n">
        <f aca="false">D32+D24/(B37*M_dot)</f>
        <v>299.165593943893</v>
      </c>
      <c r="E37" s="1" t="s">
        <v>85</v>
      </c>
    </row>
    <row r="38" customFormat="false" ht="12.8" hidden="false" customHeight="false" outlineLevel="0" collapsed="false">
      <c r="A38" s="1" t="s">
        <v>91</v>
      </c>
      <c r="C38" s="1" t="s">
        <v>100</v>
      </c>
      <c r="D38" s="1" t="n">
        <v>5.4238</v>
      </c>
      <c r="E38" s="1" t="s">
        <v>91</v>
      </c>
    </row>
    <row r="39" customFormat="false" ht="12.8" hidden="false" customHeight="false" outlineLevel="0" collapsed="false">
      <c r="C39" s="1" t="s">
        <v>101</v>
      </c>
      <c r="D39" s="1" t="n">
        <v>0.58213</v>
      </c>
      <c r="E39" s="1" t="s">
        <v>94</v>
      </c>
    </row>
    <row r="40" customFormat="false" ht="12.8" hidden="false" customHeight="false" outlineLevel="0" collapsed="false">
      <c r="C40" s="1" t="s">
        <v>102</v>
      </c>
      <c r="E40" s="1" t="s">
        <v>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C37" activeCellId="0" sqref="C37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A1" s="14" t="s">
        <v>103</v>
      </c>
      <c r="B1" s="14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12.8" hidden="false" customHeight="false" outlineLevel="0" collapsed="false">
      <c r="A2" s="14"/>
      <c r="B2" s="14"/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Format="false" ht="12.8" hidden="false" customHeight="false" outlineLevel="0" collapsed="false">
      <c r="A3" s="15"/>
      <c r="B3" s="15" t="s">
        <v>104</v>
      </c>
      <c r="C3" s="15" t="s">
        <v>105</v>
      </c>
      <c r="D3" s="15" t="s">
        <v>106</v>
      </c>
      <c r="E3" s="15" t="s">
        <v>104</v>
      </c>
      <c r="F3" s="15" t="s">
        <v>105</v>
      </c>
      <c r="G3" s="15" t="s">
        <v>106</v>
      </c>
      <c r="H3" s="15" t="s">
        <v>104</v>
      </c>
      <c r="I3" s="15" t="s">
        <v>105</v>
      </c>
      <c r="J3" s="15" t="s">
        <v>106</v>
      </c>
      <c r="K3" s="15" t="s">
        <v>104</v>
      </c>
      <c r="L3" s="15" t="s">
        <v>105</v>
      </c>
      <c r="M3" s="15" t="s">
        <v>106</v>
      </c>
      <c r="N3" s="15"/>
      <c r="O3" s="15" t="s">
        <v>104</v>
      </c>
      <c r="P3" s="15" t="s">
        <v>105</v>
      </c>
      <c r="Q3" s="15" t="s">
        <v>106</v>
      </c>
      <c r="R3" s="15"/>
      <c r="S3" s="15"/>
      <c r="T3" s="15"/>
      <c r="U3" s="15"/>
      <c r="V3" s="15"/>
      <c r="W3" s="15"/>
    </row>
    <row r="4" customFormat="false" ht="12.8" hidden="false" customHeight="false" outlineLevel="0" collapsed="false">
      <c r="A4" s="15"/>
      <c r="B4" s="15" t="s">
        <v>107</v>
      </c>
      <c r="C4" s="15" t="s">
        <v>107</v>
      </c>
      <c r="D4" s="15" t="s">
        <v>107</v>
      </c>
      <c r="E4" s="15" t="s">
        <v>107</v>
      </c>
      <c r="F4" s="15" t="s">
        <v>107</v>
      </c>
      <c r="G4" s="15" t="s">
        <v>107</v>
      </c>
      <c r="H4" s="15" t="s">
        <v>108</v>
      </c>
      <c r="I4" s="15" t="s">
        <v>108</v>
      </c>
      <c r="J4" s="15" t="s">
        <v>108</v>
      </c>
      <c r="K4" s="15" t="s">
        <v>108</v>
      </c>
      <c r="L4" s="15" t="s">
        <v>108</v>
      </c>
      <c r="M4" s="15" t="s">
        <v>108</v>
      </c>
      <c r="N4" s="15"/>
      <c r="O4" s="15" t="s">
        <v>108</v>
      </c>
      <c r="P4" s="15" t="s">
        <v>108</v>
      </c>
      <c r="Q4" s="15" t="s">
        <v>108</v>
      </c>
      <c r="R4" s="15"/>
      <c r="S4" s="15"/>
      <c r="T4" s="15"/>
      <c r="U4" s="15"/>
      <c r="V4" s="15"/>
      <c r="W4" s="15"/>
    </row>
    <row r="5" customFormat="false" ht="12.8" hidden="false" customHeight="false" outlineLevel="0" collapsed="false">
      <c r="A5" s="15"/>
      <c r="B5" s="15" t="s">
        <v>109</v>
      </c>
      <c r="C5" s="15" t="s">
        <v>109</v>
      </c>
      <c r="D5" s="15" t="s">
        <v>109</v>
      </c>
      <c r="E5" s="15" t="s">
        <v>88</v>
      </c>
      <c r="F5" s="15" t="s">
        <v>88</v>
      </c>
      <c r="G5" s="15" t="s">
        <v>88</v>
      </c>
      <c r="H5" s="15" t="s">
        <v>107</v>
      </c>
      <c r="I5" s="15" t="s">
        <v>107</v>
      </c>
      <c r="J5" s="15" t="s">
        <v>107</v>
      </c>
      <c r="K5" s="15" t="s">
        <v>110</v>
      </c>
      <c r="L5" s="15" t="s">
        <v>110</v>
      </c>
      <c r="M5" s="15" t="s">
        <v>110</v>
      </c>
      <c r="N5" s="15" t="s">
        <v>111</v>
      </c>
      <c r="O5" s="15" t="s">
        <v>110</v>
      </c>
      <c r="P5" s="15" t="s">
        <v>110</v>
      </c>
      <c r="Q5" s="15" t="s">
        <v>110</v>
      </c>
      <c r="R5" s="15"/>
      <c r="S5" s="15"/>
      <c r="T5" s="15"/>
      <c r="U5" s="15"/>
      <c r="V5" s="15"/>
      <c r="W5" s="15"/>
    </row>
    <row r="6" customFormat="false" ht="12.8" hidden="false" customHeight="false" outlineLevel="0" collapsed="false">
      <c r="A6" s="15"/>
      <c r="B6" s="15" t="n">
        <f aca="false">B7</f>
        <v>554.232258064516</v>
      </c>
      <c r="C6" s="15" t="n">
        <f aca="false">C7</f>
        <v>554.232258064516</v>
      </c>
      <c r="D6" s="15" t="n">
        <f aca="false">D7</f>
        <v>554.232258064516</v>
      </c>
      <c r="E6" s="15" t="n">
        <f aca="false">B6*t_btu_kw/t_lbm_kg</f>
        <v>1289.14269914251</v>
      </c>
      <c r="F6" s="15" t="n">
        <f aca="false">C6*t_btu_kw/t_lbm_kg</f>
        <v>1289.14269914251</v>
      </c>
      <c r="G6" s="15" t="n">
        <f aca="false">D6*t_btu_kw/t_lbm_kg</f>
        <v>1289.14269914251</v>
      </c>
      <c r="H6" s="15" t="s">
        <v>88</v>
      </c>
      <c r="I6" s="15" t="s">
        <v>88</v>
      </c>
      <c r="J6" s="15" t="s">
        <v>88</v>
      </c>
      <c r="K6" s="15" t="s">
        <v>65</v>
      </c>
      <c r="L6" s="15" t="s">
        <v>65</v>
      </c>
      <c r="M6" s="15" t="s">
        <v>65</v>
      </c>
      <c r="N6" s="15" t="s">
        <v>16</v>
      </c>
      <c r="O6" s="15" t="s">
        <v>63</v>
      </c>
      <c r="P6" s="15" t="s">
        <v>63</v>
      </c>
      <c r="Q6" s="15" t="s">
        <v>63</v>
      </c>
      <c r="R6" s="15"/>
      <c r="S6" s="15"/>
      <c r="T6" s="15"/>
      <c r="U6" s="15"/>
      <c r="V6" s="15"/>
      <c r="W6" s="15"/>
    </row>
    <row r="7" customFormat="false" ht="12.8" hidden="false" customHeight="false" outlineLevel="0" collapsed="false">
      <c r="A7" s="15"/>
      <c r="B7" s="15" t="n">
        <v>554.232258064516</v>
      </c>
      <c r="C7" s="15" t="n">
        <v>554.232258064516</v>
      </c>
      <c r="D7" s="15" t="n">
        <v>554.232258064516</v>
      </c>
      <c r="E7" s="15" t="n">
        <f aca="false">B7*t_btu_kw/t_lbm_kg</f>
        <v>1289.14269914251</v>
      </c>
      <c r="F7" s="15" t="n">
        <f aca="false">C7*t_btu_kw/t_lbm_kg</f>
        <v>1289.14269914251</v>
      </c>
      <c r="G7" s="15" t="n">
        <f aca="false">D7*t_btu_kw/t_lbm_kg</f>
        <v>1289.14269914251</v>
      </c>
      <c r="H7" s="15" t="n">
        <f aca="false">E7-E$15</f>
        <v>-19.5081756229595</v>
      </c>
      <c r="I7" s="15" t="n">
        <f aca="false">F7-F$15</f>
        <v>-19.5093333333334</v>
      </c>
      <c r="J7" s="15" t="n">
        <f aca="false">G7-G$15</f>
        <v>-19.5093333333334</v>
      </c>
      <c r="K7" s="15" t="n">
        <f aca="false">H7/M_dot</f>
        <v>-65.0272520765316</v>
      </c>
      <c r="L7" s="15" t="n">
        <f aca="false">I7/M_dot</f>
        <v>-65.0311111111114</v>
      </c>
      <c r="M7" s="15" t="n">
        <f aca="false">J7/M_dot</f>
        <v>-65.0311111111114</v>
      </c>
      <c r="N7" s="15" t="n">
        <f aca="false">-dz/2</f>
        <v>-0.09145</v>
      </c>
      <c r="O7" s="15" t="n">
        <v>0</v>
      </c>
      <c r="P7" s="15" t="n">
        <v>0</v>
      </c>
      <c r="Q7" s="15" t="n">
        <v>0</v>
      </c>
      <c r="R7" s="15"/>
      <c r="S7" s="15"/>
      <c r="T7" s="15"/>
      <c r="U7" s="15"/>
      <c r="V7" s="15"/>
      <c r="W7" s="15"/>
    </row>
    <row r="8" customFormat="false" ht="12.8" hidden="false" customHeight="false" outlineLevel="0" collapsed="false">
      <c r="A8" s="15"/>
      <c r="B8" s="15" t="n">
        <v>555.280650494459</v>
      </c>
      <c r="C8" s="15" t="n">
        <v>555.280697259209</v>
      </c>
      <c r="D8" s="15" t="n">
        <v>555.280697259209</v>
      </c>
      <c r="E8" s="15" t="n">
        <f aca="false">B8*t_btu_kw/t_lbm_kg</f>
        <v>1291.5812570345</v>
      </c>
      <c r="F8" s="15" t="n">
        <f aca="false">C8*t_btu_kw/t_lbm_kg</f>
        <v>1291.58136580918</v>
      </c>
      <c r="G8" s="15" t="n">
        <f aca="false">D8*t_btu_kw/t_lbm_kg</f>
        <v>1291.58136580918</v>
      </c>
      <c r="H8" s="15" t="n">
        <f aca="false">E8-E$15</f>
        <v>-17.0696177309721</v>
      </c>
      <c r="I8" s="15" t="n">
        <f aca="false">F8-F$15</f>
        <v>-17.070666666667</v>
      </c>
      <c r="J8" s="15" t="n">
        <f aca="false">G8-G$15</f>
        <v>-17.070666666667</v>
      </c>
      <c r="K8" s="15" t="n">
        <f aca="false">H8*M_dot</f>
        <v>-5.12088531929164</v>
      </c>
      <c r="L8" s="15" t="n">
        <f aca="false">I8*M_dot</f>
        <v>-5.12120000000009</v>
      </c>
      <c r="M8" s="15" t="n">
        <f aca="false">J8*M_dot</f>
        <v>-5.12120000000009</v>
      </c>
      <c r="N8" s="15" t="n">
        <f aca="false">N7+dz</f>
        <v>0.09145</v>
      </c>
      <c r="O8" s="15" t="n">
        <f aca="false">(K8-K7)/dz</f>
        <v>327.536176912192</v>
      </c>
      <c r="P8" s="15" t="n">
        <f aca="false">(L8-L7)/dz</f>
        <v>327.555555555556</v>
      </c>
      <c r="Q8" s="15" t="n">
        <f aca="false">(M8-M7)/dz</f>
        <v>327.555555555556</v>
      </c>
      <c r="R8" s="15"/>
      <c r="S8" s="15"/>
      <c r="T8" s="15"/>
      <c r="U8" s="15"/>
      <c r="V8" s="15"/>
      <c r="W8" s="15"/>
    </row>
    <row r="9" customFormat="false" ht="12.8" hidden="false" customHeight="false" outlineLevel="0" collapsed="false">
      <c r="A9" s="15"/>
      <c r="B9" s="15" t="n">
        <v>556.329038308287</v>
      </c>
      <c r="C9" s="15" t="n">
        <v>556.329136453902</v>
      </c>
      <c r="D9" s="15" t="n">
        <v>556.329136453902</v>
      </c>
      <c r="E9" s="15" t="n">
        <f aca="false">B9*t_btu_kw/t_lbm_kg</f>
        <v>1294.01980418942</v>
      </c>
      <c r="F9" s="15" t="n">
        <f aca="false">C9*t_btu_kw/t_lbm_kg</f>
        <v>1294.02003247585</v>
      </c>
      <c r="G9" s="15" t="n">
        <f aca="false">D9*t_btu_kw/t_lbm_kg</f>
        <v>1294.02003247585</v>
      </c>
      <c r="H9" s="15" t="n">
        <f aca="false">E9-E$15</f>
        <v>-14.6310705760552</v>
      </c>
      <c r="I9" s="15" t="n">
        <f aca="false">F9-F$15</f>
        <v>-14.6320000000001</v>
      </c>
      <c r="J9" s="15" t="n">
        <f aca="false">G9-G$15</f>
        <v>-14.6320000000001</v>
      </c>
      <c r="K9" s="15" t="n">
        <f aca="false">H9*M_dot</f>
        <v>-4.38932117281656</v>
      </c>
      <c r="L9" s="15" t="n">
        <f aca="false">I9*M_dot</f>
        <v>-4.38960000000002</v>
      </c>
      <c r="M9" s="15" t="n">
        <f aca="false">J9*M_dot</f>
        <v>-4.38960000000002</v>
      </c>
      <c r="N9" s="15" t="n">
        <f aca="false">N8+dz</f>
        <v>0.27435</v>
      </c>
      <c r="O9" s="15" t="n">
        <f aca="false">(K9-K8)/dz</f>
        <v>3.99980397197966</v>
      </c>
      <c r="P9" s="15" t="n">
        <f aca="false">(L9-L8)/dz</f>
        <v>4.00000000000039</v>
      </c>
      <c r="Q9" s="15" t="n">
        <f aca="false">(M9-M8)/dz</f>
        <v>4.00000000000039</v>
      </c>
      <c r="R9" s="15"/>
      <c r="S9" s="15"/>
      <c r="T9" s="15"/>
      <c r="U9" s="15"/>
      <c r="V9" s="15"/>
      <c r="W9" s="15"/>
    </row>
    <row r="10" customFormat="false" ht="12.8" hidden="false" customHeight="false" outlineLevel="0" collapsed="false">
      <c r="A10" s="15"/>
      <c r="B10" s="15" t="n">
        <v>557.377422063477</v>
      </c>
      <c r="C10" s="15" t="n">
        <v>557.377575648595</v>
      </c>
      <c r="D10" s="15" t="n">
        <v>557.377575648595</v>
      </c>
      <c r="E10" s="15" t="n">
        <f aca="false">B10*t_btu_kw/t_lbm_kg</f>
        <v>1296.45834190395</v>
      </c>
      <c r="F10" s="15" t="n">
        <f aca="false">C10*t_btu_kw/t_lbm_kg</f>
        <v>1296.45869914251</v>
      </c>
      <c r="G10" s="15" t="n">
        <f aca="false">D10*t_btu_kw/t_lbm_kg</f>
        <v>1296.45869914251</v>
      </c>
      <c r="H10" s="15" t="n">
        <f aca="false">E10-E$15</f>
        <v>-12.1925328615193</v>
      </c>
      <c r="I10" s="15" t="n">
        <f aca="false">F10-F$15</f>
        <v>-12.1933333333334</v>
      </c>
      <c r="J10" s="15" t="n">
        <f aca="false">G10-G$15</f>
        <v>-12.1933333333334</v>
      </c>
      <c r="K10" s="15" t="n">
        <f aca="false">H10*M_dot</f>
        <v>-3.6577598584558</v>
      </c>
      <c r="L10" s="15" t="n">
        <f aca="false">I10*M_dot</f>
        <v>-3.65800000000002</v>
      </c>
      <c r="M10" s="15" t="n">
        <f aca="false">J10*M_dot</f>
        <v>-3.65800000000002</v>
      </c>
      <c r="N10" s="15" t="n">
        <f aca="false">N9+dz</f>
        <v>0.45725</v>
      </c>
      <c r="O10" s="15" t="n">
        <f aca="false">(K10-K9)/dz</f>
        <v>3.99978848748366</v>
      </c>
      <c r="P10" s="15" t="n">
        <f aca="false">(L10-L9)/dz</f>
        <v>4.00000000000002</v>
      </c>
      <c r="Q10" s="15" t="n">
        <f aca="false">(M10-M9)/dz</f>
        <v>4.00000000000002</v>
      </c>
      <c r="R10" s="15"/>
      <c r="S10" s="15"/>
      <c r="T10" s="15"/>
      <c r="U10" s="15"/>
      <c r="V10" s="15"/>
      <c r="W10" s="15"/>
    </row>
    <row r="11" customFormat="false" ht="12.8" hidden="false" customHeight="false" outlineLevel="0" collapsed="false">
      <c r="A11" s="15"/>
      <c r="B11" s="15" t="n">
        <v>558.425801564066</v>
      </c>
      <c r="C11" s="15" t="n">
        <v>558.426014843288</v>
      </c>
      <c r="D11" s="15" t="n">
        <v>558.426014843288</v>
      </c>
      <c r="E11" s="15" t="n">
        <f aca="false">B11*t_btu_kw/t_lbm_kg</f>
        <v>1298.8968697223</v>
      </c>
      <c r="F11" s="15" t="n">
        <f aca="false">C11*t_btu_kw/t_lbm_kg</f>
        <v>1298.89736580918</v>
      </c>
      <c r="G11" s="15" t="n">
        <f aca="false">D11*t_btu_kw/t_lbm_kg</f>
        <v>1298.89736580918</v>
      </c>
      <c r="H11" s="15" t="n">
        <f aca="false">E11-E$15</f>
        <v>-9.75400504317349</v>
      </c>
      <c r="I11" s="15" t="n">
        <f aca="false">F11-F$15</f>
        <v>-9.75466666666671</v>
      </c>
      <c r="J11" s="15" t="n">
        <f aca="false">G11-G$15</f>
        <v>-9.75466666666671</v>
      </c>
      <c r="K11" s="15" t="n">
        <f aca="false">H11*M_dot</f>
        <v>-2.92620151295205</v>
      </c>
      <c r="L11" s="15" t="n">
        <f aca="false">I11*M_dot</f>
        <v>-2.92640000000001</v>
      </c>
      <c r="M11" s="15" t="n">
        <f aca="false">J11*M_dot</f>
        <v>-2.92640000000001</v>
      </c>
      <c r="N11" s="15" t="n">
        <f aca="false">N10+dz</f>
        <v>0.64015</v>
      </c>
      <c r="O11" s="15" t="n">
        <f aca="false">(K11-K10)/dz</f>
        <v>3.99977225535131</v>
      </c>
      <c r="P11" s="15" t="n">
        <f aca="false">(L11-L10)/dz</f>
        <v>4.00000000000002</v>
      </c>
      <c r="Q11" s="15" t="n">
        <f aca="false">(M11-M10)/dz</f>
        <v>4.00000000000002</v>
      </c>
      <c r="R11" s="15"/>
      <c r="S11" s="15"/>
      <c r="T11" s="15"/>
      <c r="U11" s="15"/>
      <c r="V11" s="15"/>
      <c r="W11" s="15"/>
    </row>
    <row r="12" customFormat="false" ht="12.8" hidden="false" customHeight="false" outlineLevel="0" collapsed="false">
      <c r="A12" s="15"/>
      <c r="B12" s="15" t="n">
        <v>559.474176607299</v>
      </c>
      <c r="C12" s="15" t="n">
        <v>559.474454037981</v>
      </c>
      <c r="D12" s="15" t="n">
        <v>559.474454037981</v>
      </c>
      <c r="E12" s="15" t="n">
        <f aca="false">B12*t_btu_kw/t_lbm_kg</f>
        <v>1301.33538717285</v>
      </c>
      <c r="F12" s="15" t="n">
        <f aca="false">C12*t_btu_kw/t_lbm_kg</f>
        <v>1301.33603247585</v>
      </c>
      <c r="G12" s="15" t="n">
        <f aca="false">D12*t_btu_kw/t_lbm_kg</f>
        <v>1301.33603247585</v>
      </c>
      <c r="H12" s="15" t="n">
        <f aca="false">E12-E$15</f>
        <v>-7.315487592625</v>
      </c>
      <c r="I12" s="15" t="n">
        <f aca="false">F12-F$15</f>
        <v>-7.31600000000026</v>
      </c>
      <c r="J12" s="15" t="n">
        <f aca="false">G12-G$15</f>
        <v>-7.31600000000026</v>
      </c>
      <c r="K12" s="15" t="n">
        <f aca="false">H12*M_dot</f>
        <v>-2.1946462777875</v>
      </c>
      <c r="L12" s="15" t="n">
        <f aca="false">I12*M_dot</f>
        <v>-2.19480000000008</v>
      </c>
      <c r="M12" s="15" t="n">
        <f aca="false">J12*M_dot</f>
        <v>-2.19480000000008</v>
      </c>
      <c r="N12" s="15" t="n">
        <f aca="false">N11+dz</f>
        <v>0.82305</v>
      </c>
      <c r="O12" s="15" t="n">
        <f aca="false">(K12-K11)/dz</f>
        <v>3.99975524966947</v>
      </c>
      <c r="P12" s="15" t="n">
        <f aca="false">(L12-L11)/dz</f>
        <v>3.99999999999964</v>
      </c>
      <c r="Q12" s="15" t="n">
        <f aca="false">(M12-M11)/dz</f>
        <v>3.99999999999964</v>
      </c>
      <c r="R12" s="15"/>
      <c r="S12" s="15"/>
      <c r="T12" s="15"/>
      <c r="U12" s="15"/>
      <c r="V12" s="15"/>
      <c r="W12" s="15"/>
    </row>
    <row r="13" customFormat="false" ht="12.8" hidden="false" customHeight="false" outlineLevel="0" collapsed="false">
      <c r="A13" s="15"/>
      <c r="B13" s="15" t="n">
        <v>560.522547238635</v>
      </c>
      <c r="C13" s="15" t="n">
        <v>560.522893232674</v>
      </c>
      <c r="D13" s="15" t="n">
        <v>560.522893232674</v>
      </c>
      <c r="E13" s="15" t="n">
        <f aca="false">B13*t_btu_kw/t_lbm_kg</f>
        <v>1303.77389436134</v>
      </c>
      <c r="F13" s="15" t="n">
        <f aca="false">C13*t_btu_kw/t_lbm_kg</f>
        <v>1303.77469914251</v>
      </c>
      <c r="G13" s="15" t="n">
        <f aca="false">D13*t_btu_kw/t_lbm_kg</f>
        <v>1303.77469914251</v>
      </c>
      <c r="H13" s="15" t="n">
        <f aca="false">E13-E$15</f>
        <v>-4.87698040413716</v>
      </c>
      <c r="I13" s="15" t="n">
        <f aca="false">F13-F$15</f>
        <v>-4.87733333333335</v>
      </c>
      <c r="J13" s="15" t="n">
        <f aca="false">G13-G$15</f>
        <v>-4.87733333333335</v>
      </c>
      <c r="K13" s="15" t="n">
        <f aca="false">H13*M_dot</f>
        <v>-1.46309412124115</v>
      </c>
      <c r="L13" s="15" t="n">
        <f aca="false">I13*M_dot</f>
        <v>-1.46320000000001</v>
      </c>
      <c r="M13" s="15" t="n">
        <f aca="false">J13*M_dot</f>
        <v>-1.46320000000001</v>
      </c>
      <c r="N13" s="15" t="n">
        <f aca="false">N12+dz</f>
        <v>1.00595</v>
      </c>
      <c r="O13" s="15" t="n">
        <f aca="false">(K13-K12)/dz</f>
        <v>3.99973841742129</v>
      </c>
      <c r="P13" s="15" t="n">
        <f aca="false">(L13-L12)/dz</f>
        <v>4.00000000000039</v>
      </c>
      <c r="Q13" s="15" t="n">
        <f aca="false">(M13-M12)/dz</f>
        <v>4.00000000000039</v>
      </c>
      <c r="R13" s="15"/>
      <c r="S13" s="15"/>
      <c r="T13" s="15"/>
      <c r="U13" s="15"/>
      <c r="V13" s="15"/>
      <c r="W13" s="15"/>
    </row>
    <row r="14" customFormat="false" ht="12.8" hidden="false" customHeight="false" outlineLevel="0" collapsed="false">
      <c r="A14" s="15"/>
      <c r="B14" s="15" t="n">
        <v>561.57091307834</v>
      </c>
      <c r="C14" s="15" t="n">
        <v>561.571332427367</v>
      </c>
      <c r="D14" s="15" t="n">
        <v>561.571332427367</v>
      </c>
      <c r="E14" s="15" t="n">
        <f aca="false">B14*t_btu_kw/t_lbm_kg</f>
        <v>1306.2123904045</v>
      </c>
      <c r="F14" s="15" t="n">
        <f aca="false">C14*t_btu_kw/t_lbm_kg</f>
        <v>1306.21336580918</v>
      </c>
      <c r="G14" s="15" t="n">
        <f aca="false">D14*t_btu_kw/t_lbm_kg</f>
        <v>1306.21336580918</v>
      </c>
      <c r="H14" s="15" t="n">
        <f aca="false">E14-E$15</f>
        <v>-2.4384843609696</v>
      </c>
      <c r="I14" s="15" t="n">
        <f aca="false">F14-F$15</f>
        <v>-2.43866666666668</v>
      </c>
      <c r="J14" s="15" t="n">
        <f aca="false">G14-G$15</f>
        <v>-2.43866666666668</v>
      </c>
      <c r="K14" s="15" t="n">
        <f aca="false">H14*M_dot</f>
        <v>-0.731545308290879</v>
      </c>
      <c r="L14" s="15" t="n">
        <f aca="false">I14*M_dot</f>
        <v>-0.731600000000003</v>
      </c>
      <c r="M14" s="15" t="n">
        <f aca="false">J14*M_dot</f>
        <v>-0.731600000000003</v>
      </c>
      <c r="N14" s="15" t="n">
        <f aca="false">N13+dz</f>
        <v>1.18885</v>
      </c>
      <c r="O14" s="15" t="n">
        <f aca="false">(K14-K13)/dz</f>
        <v>3.99972013641481</v>
      </c>
      <c r="P14" s="15" t="n">
        <f aca="false">(L14-L13)/dz</f>
        <v>4.00000000000002</v>
      </c>
      <c r="Q14" s="15" t="n">
        <f aca="false">(M14-M13)/dz</f>
        <v>4.00000000000002</v>
      </c>
      <c r="R14" s="15"/>
      <c r="S14" s="15"/>
      <c r="T14" s="15"/>
      <c r="U14" s="15"/>
      <c r="V14" s="15"/>
      <c r="W14" s="15"/>
    </row>
    <row r="15" customFormat="false" ht="12.8" hidden="false" customHeight="false" outlineLevel="0" collapsed="false">
      <c r="A15" s="15"/>
      <c r="B15" s="15" t="n">
        <v>562.619273895598</v>
      </c>
      <c r="C15" s="15" t="n">
        <v>562.61977162206</v>
      </c>
      <c r="D15" s="15" t="n">
        <v>562.61977162206</v>
      </c>
      <c r="E15" s="15" t="n">
        <f aca="false">B15*t_btu_kw/t_lbm_kg</f>
        <v>1308.65087476547</v>
      </c>
      <c r="F15" s="15" t="n">
        <f aca="false">C15*t_btu_kw/t_lbm_kg</f>
        <v>1308.65203247585</v>
      </c>
      <c r="G15" s="15" t="n">
        <f aca="false">D15*t_btu_kw/t_lbm_kg</f>
        <v>1308.65203247585</v>
      </c>
      <c r="H15" s="15" t="n">
        <f aca="false">E15-E$15</f>
        <v>0</v>
      </c>
      <c r="I15" s="15" t="n">
        <f aca="false">F15-F$15</f>
        <v>0</v>
      </c>
      <c r="J15" s="15" t="n">
        <f aca="false">G15-G$15</f>
        <v>0</v>
      </c>
      <c r="K15" s="15" t="n">
        <f aca="false">H15*M_dot</f>
        <v>0</v>
      </c>
      <c r="L15" s="15" t="n">
        <f aca="false">I15*M_dot</f>
        <v>0</v>
      </c>
      <c r="M15" s="15" t="n">
        <f aca="false">J15*M_dot</f>
        <v>0</v>
      </c>
      <c r="N15" s="15" t="n">
        <f aca="false">N14+dz</f>
        <v>1.37175</v>
      </c>
      <c r="O15" s="15" t="n">
        <f aca="false">(K15-K14)/dz</f>
        <v>3.99970097479978</v>
      </c>
      <c r="P15" s="15" t="n">
        <f aca="false">(L15-L14)/dz</f>
        <v>4.00000000000002</v>
      </c>
      <c r="Q15" s="15" t="n">
        <f aca="false">(M15-M14)/dz</f>
        <v>4.00000000000002</v>
      </c>
      <c r="R15" s="15"/>
      <c r="S15" s="15"/>
      <c r="T15" s="15"/>
      <c r="U15" s="15"/>
      <c r="V15" s="15"/>
      <c r="W15" s="15"/>
    </row>
    <row r="16" customFormat="false" ht="12.8" hidden="false" customHeight="false" outlineLevel="0" collapsed="false">
      <c r="A16" s="15"/>
      <c r="B16" s="15" t="n">
        <v>563.667629461479</v>
      </c>
      <c r="C16" s="15" t="n">
        <v>563.668210816753</v>
      </c>
      <c r="D16" s="15" t="n">
        <v>563.668210816753</v>
      </c>
      <c r="E16" s="15" t="n">
        <f aca="false">B16*t_btu_kw/t_lbm_kg</f>
        <v>1311.08934691175</v>
      </c>
      <c r="F16" s="15" t="n">
        <f aca="false">C16*t_btu_kw/t_lbm_kg</f>
        <v>1311.09069914251</v>
      </c>
      <c r="G16" s="15" t="n">
        <f aca="false">D16*t_btu_kw/t_lbm_kg</f>
        <v>1311.09069914251</v>
      </c>
      <c r="H16" s="15" t="n">
        <f aca="false">E16-E$15</f>
        <v>2.43847214628158</v>
      </c>
      <c r="I16" s="15" t="n">
        <f aca="false">F16-F$15</f>
        <v>2.43866666666645</v>
      </c>
      <c r="J16" s="15" t="n">
        <f aca="false">G16-G$15</f>
        <v>2.43866666666645</v>
      </c>
      <c r="K16" s="15" t="n">
        <f aca="false">H16*M_dot</f>
        <v>0.731541643884475</v>
      </c>
      <c r="L16" s="15" t="n">
        <f aca="false">I16*M_dot</f>
        <v>0.731599999999935</v>
      </c>
      <c r="M16" s="15" t="n">
        <f aca="false">J16*M_dot</f>
        <v>0.731599999999935</v>
      </c>
      <c r="N16" s="15" t="n">
        <f aca="false">N15+dz</f>
        <v>1.55465</v>
      </c>
      <c r="O16" s="15" t="n">
        <f aca="false">(K16-K15)/dz</f>
        <v>3.99968093977296</v>
      </c>
      <c r="P16" s="15" t="n">
        <f aca="false">(L16-L15)/dz</f>
        <v>3.99999999999964</v>
      </c>
      <c r="Q16" s="15" t="n">
        <f aca="false">(M16-M15)/dz</f>
        <v>3.99999999999964</v>
      </c>
      <c r="R16" s="15"/>
      <c r="S16" s="15"/>
      <c r="T16" s="15"/>
      <c r="U16" s="15"/>
      <c r="V16" s="15"/>
      <c r="W16" s="15"/>
    </row>
    <row r="17" customFormat="false" ht="12.8" hidden="false" customHeight="false" outlineLevel="0" collapsed="false">
      <c r="A17" s="15"/>
      <c r="B17" s="15" t="n">
        <v>564.715979541326</v>
      </c>
      <c r="C17" s="15" t="n">
        <v>564.716650011446</v>
      </c>
      <c r="D17" s="15" t="n">
        <v>564.716650011446</v>
      </c>
      <c r="E17" s="15" t="n">
        <f aca="false">B17*t_btu_kw/t_lbm_kg</f>
        <v>1313.52780629753</v>
      </c>
      <c r="F17" s="15" t="n">
        <f aca="false">C17*t_btu_kw/t_lbm_kg</f>
        <v>1313.52936580918</v>
      </c>
      <c r="G17" s="15" t="n">
        <f aca="false">D17*t_btu_kw/t_lbm_kg</f>
        <v>1313.52936580918</v>
      </c>
      <c r="H17" s="15" t="n">
        <f aca="false">E17-E$15</f>
        <v>4.8769315320626</v>
      </c>
      <c r="I17" s="15" t="n">
        <f aca="false">F17-F$15</f>
        <v>4.87733333333313</v>
      </c>
      <c r="J17" s="15" t="n">
        <f aca="false">G17-G$15</f>
        <v>4.87733333333313</v>
      </c>
      <c r="K17" s="15" t="n">
        <f aca="false">H17*M_dot</f>
        <v>1.46307945961878</v>
      </c>
      <c r="L17" s="15" t="n">
        <f aca="false">I17*M_dot</f>
        <v>1.46319999999994</v>
      </c>
      <c r="M17" s="15" t="n">
        <f aca="false">J17*M_dot</f>
        <v>1.46319999999994</v>
      </c>
      <c r="N17" s="15" t="n">
        <f aca="false">N16+dz</f>
        <v>1.73755</v>
      </c>
      <c r="O17" s="15" t="n">
        <f aca="false">(K17-K16)/dz</f>
        <v>3.99966000948226</v>
      </c>
      <c r="P17" s="15" t="n">
        <f aca="false">(L17-L16)/dz</f>
        <v>4.00000000000002</v>
      </c>
      <c r="Q17" s="15" t="n">
        <f aca="false">(M17-M16)/dz</f>
        <v>4.00000000000002</v>
      </c>
      <c r="R17" s="15"/>
      <c r="S17" s="15"/>
      <c r="T17" s="15"/>
      <c r="U17" s="15"/>
      <c r="V17" s="15"/>
      <c r="W17" s="15"/>
    </row>
    <row r="18" customFormat="false" ht="12.8" hidden="false" customHeight="false" outlineLevel="0" collapsed="false">
      <c r="A18" s="15"/>
      <c r="B18" s="15" t="n">
        <v>565.764323893442</v>
      </c>
      <c r="C18" s="15" t="n">
        <v>565.765089206139</v>
      </c>
      <c r="D18" s="15" t="n">
        <v>565.765089206139</v>
      </c>
      <c r="E18" s="15" t="n">
        <f aca="false">B18*t_btu_kw/t_lbm_kg</f>
        <v>1315.96625236063</v>
      </c>
      <c r="F18" s="15" t="n">
        <f aca="false">C18*t_btu_kw/t_lbm_kg</f>
        <v>1315.96803247585</v>
      </c>
      <c r="G18" s="15" t="n">
        <f aca="false">D18*t_btu_kw/t_lbm_kg</f>
        <v>1315.96803247585</v>
      </c>
      <c r="H18" s="15" t="n">
        <f aca="false">E18-E$15</f>
        <v>7.31537759515754</v>
      </c>
      <c r="I18" s="15" t="n">
        <f aca="false">F18-F$15</f>
        <v>7.31600000000003</v>
      </c>
      <c r="J18" s="15" t="n">
        <f aca="false">G18-G$15</f>
        <v>7.31600000000003</v>
      </c>
      <c r="K18" s="15" t="n">
        <f aca="false">H18*M_dot</f>
        <v>2.19461327854726</v>
      </c>
      <c r="L18" s="15" t="n">
        <f aca="false">I18*M_dot</f>
        <v>2.19480000000001</v>
      </c>
      <c r="M18" s="15" t="n">
        <f aca="false">J18*M_dot</f>
        <v>2.19480000000001</v>
      </c>
      <c r="N18" s="15" t="n">
        <f aca="false">N17+dz</f>
        <v>1.92045</v>
      </c>
      <c r="O18" s="15" t="n">
        <f aca="false">(K18-K17)/dz</f>
        <v>3.99963815707208</v>
      </c>
      <c r="P18" s="15" t="n">
        <f aca="false">(L18-L17)/dz</f>
        <v>4.00000000000039</v>
      </c>
      <c r="Q18" s="15" t="n">
        <f aca="false">(M18-M17)/dz</f>
        <v>4.00000000000039</v>
      </c>
      <c r="R18" s="15"/>
      <c r="S18" s="15"/>
      <c r="T18" s="15"/>
      <c r="U18" s="15"/>
      <c r="V18" s="15"/>
      <c r="W18" s="15"/>
    </row>
    <row r="19" customFormat="false" ht="12.8" hidden="false" customHeight="false" outlineLevel="0" collapsed="false">
      <c r="A19" s="15"/>
      <c r="B19" s="15" t="n">
        <v>566.812662268593</v>
      </c>
      <c r="C19" s="15" t="n">
        <v>566.813528400832</v>
      </c>
      <c r="D19" s="15" t="n">
        <v>566.813528400832</v>
      </c>
      <c r="E19" s="15" t="n">
        <f aca="false">B19*t_btu_kw/t_lbm_kg</f>
        <v>1318.40468452132</v>
      </c>
      <c r="F19" s="15" t="n">
        <f aca="false">C19*t_btu_kw/t_lbm_kg</f>
        <v>1318.40669914251</v>
      </c>
      <c r="G19" s="15" t="n">
        <f aca="false">D19*t_btu_kw/t_lbm_kg</f>
        <v>1318.40669914251</v>
      </c>
      <c r="H19" s="15" t="n">
        <f aca="false">E19-E$15</f>
        <v>9.75380975584858</v>
      </c>
      <c r="I19" s="15" t="n">
        <f aca="false">F19-F$15</f>
        <v>9.75466666666648</v>
      </c>
      <c r="J19" s="15" t="n">
        <f aca="false">G19-G$15</f>
        <v>9.75466666666648</v>
      </c>
      <c r="K19" s="15" t="n">
        <f aca="false">H19*M_dot</f>
        <v>2.92614292675457</v>
      </c>
      <c r="L19" s="15" t="n">
        <f aca="false">I19*M_dot</f>
        <v>2.92639999999994</v>
      </c>
      <c r="M19" s="15" t="n">
        <f aca="false">J19*M_dot</f>
        <v>2.92639999999994</v>
      </c>
      <c r="N19" s="15" t="n">
        <f aca="false">N18+dz</f>
        <v>2.10335</v>
      </c>
      <c r="O19" s="15" t="n">
        <f aca="false">(K19-K18)/dz</f>
        <v>3.99961535378519</v>
      </c>
      <c r="P19" s="15" t="n">
        <f aca="false">(L19-L18)/dz</f>
        <v>3.99999999999964</v>
      </c>
      <c r="Q19" s="15" t="n">
        <f aca="false">(M19-M18)/dz</f>
        <v>3.99999999999964</v>
      </c>
      <c r="R19" s="15"/>
      <c r="S19" s="15"/>
      <c r="T19" s="15"/>
      <c r="U19" s="15"/>
      <c r="V19" s="15"/>
      <c r="W19" s="15"/>
    </row>
    <row r="20" customFormat="false" ht="12.8" hidden="false" customHeight="false" outlineLevel="0" collapsed="false">
      <c r="A20" s="15"/>
      <c r="B20" s="15" t="n">
        <v>567.860994409693</v>
      </c>
      <c r="C20" s="15" t="n">
        <v>567.861967595526</v>
      </c>
      <c r="D20" s="15" t="n">
        <v>567.861967595526</v>
      </c>
      <c r="E20" s="15" t="n">
        <f aca="false">B20*t_btu_kw/t_lbm_kg</f>
        <v>1320.84310218163</v>
      </c>
      <c r="F20" s="15" t="n">
        <f aca="false">C20*t_btu_kw/t_lbm_kg</f>
        <v>1320.84536580918</v>
      </c>
      <c r="G20" s="15" t="n">
        <f aca="false">D20*t_btu_kw/t_lbm_kg</f>
        <v>1320.84536580918</v>
      </c>
      <c r="H20" s="15" t="n">
        <f aca="false">E20-E$15</f>
        <v>12.1922274161541</v>
      </c>
      <c r="I20" s="15" t="n">
        <f aca="false">F20-F$15</f>
        <v>12.1933333333357</v>
      </c>
      <c r="J20" s="15" t="n">
        <f aca="false">G20-G$15</f>
        <v>12.1933333333357</v>
      </c>
      <c r="K20" s="15" t="n">
        <f aca="false">H20*M_dot</f>
        <v>3.65766822484623</v>
      </c>
      <c r="L20" s="15" t="n">
        <f aca="false">I20*M_dot</f>
        <v>3.6580000000007</v>
      </c>
      <c r="M20" s="15" t="n">
        <f aca="false">J20*M_dot</f>
        <v>3.6580000000007</v>
      </c>
      <c r="N20" s="15" t="n">
        <f aca="false">N19+dz</f>
        <v>2.28625</v>
      </c>
      <c r="O20" s="15" t="n">
        <f aca="false">(K20-K19)/dz</f>
        <v>3.99959156966458</v>
      </c>
      <c r="P20" s="15" t="n">
        <f aca="false">(L20-L19)/dz</f>
        <v>4.00000000000412</v>
      </c>
      <c r="Q20" s="15" t="n">
        <f aca="false">(M20-M19)/dz</f>
        <v>4.00000000000412</v>
      </c>
      <c r="R20" s="15"/>
      <c r="S20" s="15"/>
      <c r="T20" s="15"/>
      <c r="U20" s="15"/>
      <c r="V20" s="15"/>
      <c r="W20" s="15"/>
    </row>
    <row r="21" customFormat="false" ht="12.8" hidden="false" customHeight="false" outlineLevel="0" collapsed="false">
      <c r="A21" s="15"/>
      <c r="B21" s="15" t="n">
        <v>568.909320051558</v>
      </c>
      <c r="C21" s="15" t="n">
        <v>568.910406790218</v>
      </c>
      <c r="D21" s="15" t="n">
        <v>568.910406790218</v>
      </c>
      <c r="E21" s="15" t="n">
        <f aca="false">B21*t_btu_kw/t_lbm_kg</f>
        <v>1323.28150472473</v>
      </c>
      <c r="F21" s="15" t="n">
        <f aca="false">C21*t_btu_kw/t_lbm_kg</f>
        <v>1323.28403247585</v>
      </c>
      <c r="G21" s="15" t="n">
        <f aca="false">D21*t_btu_kw/t_lbm_kg</f>
        <v>1323.28403247585</v>
      </c>
      <c r="H21" s="15" t="n">
        <f aca="false">E21-E$15</f>
        <v>14.6306299592568</v>
      </c>
      <c r="I21" s="15" t="n">
        <f aca="false">F21-F$15</f>
        <v>14.6319999999998</v>
      </c>
      <c r="J21" s="15" t="n">
        <f aca="false">G21-G$15</f>
        <v>14.6319999999998</v>
      </c>
      <c r="K21" s="15" t="n">
        <f aca="false">H21*M_dot</f>
        <v>4.38918898777704</v>
      </c>
      <c r="L21" s="15" t="n">
        <f aca="false">I21*M_dot</f>
        <v>4.38959999999995</v>
      </c>
      <c r="M21" s="15" t="n">
        <f aca="false">J21*M_dot</f>
        <v>4.38959999999995</v>
      </c>
      <c r="N21" s="15" t="n">
        <f aca="false">N20+dz</f>
        <v>2.46915</v>
      </c>
      <c r="O21" s="15" t="n">
        <f aca="false">(K21-K20)/dz</f>
        <v>3.99956677381527</v>
      </c>
      <c r="P21" s="15" t="n">
        <f aca="false">(L21-L20)/dz</f>
        <v>3.99999999999591</v>
      </c>
      <c r="Q21" s="15" t="n">
        <f aca="false">(M21-M20)/dz</f>
        <v>3.99999999999591</v>
      </c>
      <c r="R21" s="15"/>
      <c r="S21" s="15"/>
      <c r="T21" s="15"/>
      <c r="U21" s="15"/>
      <c r="V21" s="15"/>
      <c r="W21" s="15"/>
    </row>
    <row r="22" customFormat="false" ht="12.8" hidden="false" customHeight="false" outlineLevel="0" collapsed="false">
      <c r="A22" s="15"/>
      <c r="B22" s="15" t="n">
        <v>569.957638920686</v>
      </c>
      <c r="C22" s="15" t="n">
        <v>569.958845984911</v>
      </c>
      <c r="D22" s="15" t="n">
        <v>569.958845984911</v>
      </c>
      <c r="E22" s="15" t="n">
        <f aca="false">B22*t_btu_kw/t_lbm_kg</f>
        <v>1325.71989151446</v>
      </c>
      <c r="F22" s="15" t="n">
        <f aca="false">C22*t_btu_kw/t_lbm_kg</f>
        <v>1325.72269914251</v>
      </c>
      <c r="G22" s="15" t="n">
        <f aca="false">D22*t_btu_kw/t_lbm_kg</f>
        <v>1325.72269914251</v>
      </c>
      <c r="H22" s="15" t="n">
        <f aca="false">E22-E$15</f>
        <v>17.0690167489922</v>
      </c>
      <c r="I22" s="15" t="n">
        <f aca="false">F22-F$15</f>
        <v>17.0706666666667</v>
      </c>
      <c r="J22" s="15" t="n">
        <f aca="false">G22-G$15</f>
        <v>17.0706666666667</v>
      </c>
      <c r="K22" s="15" t="n">
        <f aca="false">H22*M_dot</f>
        <v>5.12070502469767</v>
      </c>
      <c r="L22" s="15" t="n">
        <f aca="false">I22*M_dot</f>
        <v>5.12120000000002</v>
      </c>
      <c r="M22" s="15" t="n">
        <f aca="false">J22*M_dot</f>
        <v>5.12120000000002</v>
      </c>
      <c r="N22" s="15" t="n">
        <f aca="false">N21+dz</f>
        <v>2.65205</v>
      </c>
      <c r="O22" s="15" t="n">
        <f aca="false">(K22-K21)/dz</f>
        <v>3.99954093450317</v>
      </c>
      <c r="P22" s="15" t="n">
        <f aca="false">(L22-L21)/dz</f>
        <v>4.00000000000039</v>
      </c>
      <c r="Q22" s="15" t="n">
        <f aca="false">(M22-M21)/dz</f>
        <v>4.00000000000039</v>
      </c>
      <c r="R22" s="15"/>
      <c r="S22" s="15"/>
      <c r="T22" s="15"/>
      <c r="U22" s="15"/>
      <c r="V22" s="15"/>
      <c r="W22" s="15"/>
    </row>
    <row r="23" customFormat="false" ht="12.8" hidden="false" customHeight="false" outlineLevel="0" collapsed="false">
      <c r="A23" s="15"/>
      <c r="B23" s="15" t="n">
        <v>571.005951567873</v>
      </c>
      <c r="C23" s="15" t="n">
        <v>571.007285179605</v>
      </c>
      <c r="D23" s="15" t="n">
        <v>571.007285179605</v>
      </c>
      <c r="E23" s="15" t="n">
        <f aca="false">B23*t_btu_kw/t_lbm_kg</f>
        <v>1328.15826383198</v>
      </c>
      <c r="F23" s="15" t="n">
        <f aca="false">C23*t_btu_kw/t_lbm_kg</f>
        <v>1328.16136580918</v>
      </c>
      <c r="G23" s="15" t="n">
        <f aca="false">D23*t_btu_kw/t_lbm_kg</f>
        <v>1328.16136580918</v>
      </c>
      <c r="H23" s="15" t="n">
        <f aca="false">E23-E$15</f>
        <v>19.5073890665099</v>
      </c>
      <c r="I23" s="15" t="n">
        <f aca="false">F23-F$15</f>
        <v>19.5093333333355</v>
      </c>
      <c r="J23" s="15" t="n">
        <f aca="false">G23-G$15</f>
        <v>19.5093333333355</v>
      </c>
      <c r="K23" s="15" t="n">
        <f aca="false">H23*M_dot</f>
        <v>5.85221671995296</v>
      </c>
      <c r="L23" s="15" t="n">
        <f aca="false">I23*M_dot</f>
        <v>5.85280000000064</v>
      </c>
      <c r="M23" s="15" t="n">
        <f aca="false">J23*M_dot</f>
        <v>5.85280000000064</v>
      </c>
      <c r="N23" s="15" t="n">
        <f aca="false">N22+dz</f>
        <v>2.83495</v>
      </c>
      <c r="O23" s="15" t="n">
        <f aca="false">(K23-K22)/dz</f>
        <v>3.99951719658442</v>
      </c>
      <c r="P23" s="15" t="n">
        <f aca="false">(L23-L22)/dz</f>
        <v>4.00000000000338</v>
      </c>
      <c r="Q23" s="15" t="n">
        <f aca="false">(M23-M22)/dz</f>
        <v>4.00000000000338</v>
      </c>
      <c r="R23" s="15"/>
      <c r="S23" s="15"/>
      <c r="T23" s="15"/>
      <c r="U23" s="15"/>
      <c r="V23" s="15"/>
      <c r="W23" s="15"/>
    </row>
    <row r="24" customFormat="false" ht="12.8" hidden="false" customHeight="false" outlineLevel="0" collapsed="false">
      <c r="A24" s="15"/>
      <c r="B24" s="15" t="n">
        <v>572.054257036122</v>
      </c>
      <c r="C24" s="15" t="n">
        <v>572.055724374297</v>
      </c>
      <c r="D24" s="15" t="n">
        <v>572.055724374297</v>
      </c>
      <c r="E24" s="15" t="n">
        <f aca="false">B24*t_btu_kw/t_lbm_kg</f>
        <v>1330.59661945131</v>
      </c>
      <c r="F24" s="15" t="n">
        <f aca="false">C24*t_btu_kw/t_lbm_kg</f>
        <v>1330.60003247585</v>
      </c>
      <c r="G24" s="15" t="n">
        <f aca="false">D24*t_btu_kw/t_lbm_kg</f>
        <v>1330.60003247585</v>
      </c>
      <c r="H24" s="15" t="n">
        <f aca="false">E24-E$15</f>
        <v>21.9457446858378</v>
      </c>
      <c r="I24" s="15" t="n">
        <f aca="false">F24-F$15</f>
        <v>21.9480000000001</v>
      </c>
      <c r="J24" s="15" t="n">
        <f aca="false">G24-G$15</f>
        <v>21.9480000000001</v>
      </c>
      <c r="K24" s="15" t="n">
        <f aca="false">H24*M_dot</f>
        <v>6.58372340575134</v>
      </c>
      <c r="L24" s="15" t="n">
        <f aca="false">I24*M_dot</f>
        <v>6.58440000000003</v>
      </c>
      <c r="M24" s="15" t="n">
        <f aca="false">J24*M_dot</f>
        <v>6.58440000000003</v>
      </c>
      <c r="N24" s="15" t="n">
        <f aca="false">N23+dz</f>
        <v>3.01785</v>
      </c>
      <c r="O24" s="15" t="n">
        <f aca="false">(K24-K23)/dz</f>
        <v>3.99948980753623</v>
      </c>
      <c r="P24" s="15" t="n">
        <f aca="false">(L24-L23)/dz</f>
        <v>3.99999999999666</v>
      </c>
      <c r="Q24" s="15" t="n">
        <f aca="false">(M24-M23)/dz</f>
        <v>3.99999999999666</v>
      </c>
      <c r="R24" s="15"/>
      <c r="S24" s="15"/>
      <c r="T24" s="15"/>
      <c r="U24" s="15"/>
      <c r="V24" s="15"/>
      <c r="W24" s="15"/>
    </row>
    <row r="25" customFormat="false" ht="12.8" hidden="false" customHeight="false" outlineLevel="0" collapsed="false">
      <c r="A25" s="15"/>
      <c r="B25" s="15" t="n">
        <v>573.102555011392</v>
      </c>
      <c r="C25" s="15" t="n">
        <v>573.104163568991</v>
      </c>
      <c r="D25" s="15" t="n">
        <v>573.104163568991</v>
      </c>
      <c r="E25" s="15" t="n">
        <f aca="false">B25*t_btu_kw/t_lbm_kg</f>
        <v>1333.03495764199</v>
      </c>
      <c r="F25" s="15" t="n">
        <f aca="false">C25*t_btu_kw/t_lbm_kg</f>
        <v>1333.03869914252</v>
      </c>
      <c r="G25" s="15" t="n">
        <f aca="false">D25*t_btu_kw/t_lbm_kg</f>
        <v>1333.03869914252</v>
      </c>
      <c r="H25" s="15" t="n">
        <f aca="false">E25-E$15</f>
        <v>24.3840828765174</v>
      </c>
      <c r="I25" s="15" t="n">
        <f aca="false">F25-F$15</f>
        <v>24.386666666669</v>
      </c>
      <c r="J25" s="15" t="n">
        <f aca="false">G25-G$15</f>
        <v>24.386666666669</v>
      </c>
      <c r="K25" s="15" t="n">
        <f aca="false">H25*M_dot</f>
        <v>7.31522486295521</v>
      </c>
      <c r="L25" s="15" t="n">
        <f aca="false">I25*M_dot</f>
        <v>7.31600000000071</v>
      </c>
      <c r="M25" s="15" t="n">
        <f aca="false">J25*M_dot</f>
        <v>7.31600000000071</v>
      </c>
      <c r="N25" s="15" t="n">
        <f aca="false">N24+dz</f>
        <v>3.20075</v>
      </c>
      <c r="O25" s="15" t="n">
        <f aca="false">(K25-K24)/dz</f>
        <v>3.99946122036018</v>
      </c>
      <c r="P25" s="15" t="n">
        <f aca="false">(L25-L24)/dz</f>
        <v>4.00000000000375</v>
      </c>
      <c r="Q25" s="15" t="n">
        <f aca="false">(M25-M24)/dz</f>
        <v>4.00000000000375</v>
      </c>
      <c r="R25" s="15"/>
      <c r="S25" s="15"/>
      <c r="T25" s="15"/>
      <c r="U25" s="15"/>
      <c r="V25" s="15"/>
      <c r="W25" s="15"/>
    </row>
    <row r="26" customFormat="false" ht="12.8" hidden="false" customHeight="false" outlineLevel="0" collapsed="false">
      <c r="A26" s="15"/>
      <c r="B26" s="15" t="n">
        <v>574.150845184938</v>
      </c>
      <c r="C26" s="15" t="n">
        <v>574.152602763684</v>
      </c>
      <c r="D26" s="15" t="n">
        <v>574.152602763684</v>
      </c>
      <c r="E26" s="15" t="n">
        <f aca="false">B26*t_btu_kw/t_lbm_kg</f>
        <v>1335.47327768588</v>
      </c>
      <c r="F26" s="15" t="n">
        <f aca="false">C26*t_btu_kw/t_lbm_kg</f>
        <v>1335.47736580918</v>
      </c>
      <c r="G26" s="15" t="n">
        <f aca="false">D26*t_btu_kw/t_lbm_kg</f>
        <v>1335.47736580918</v>
      </c>
      <c r="H26" s="15" t="n">
        <f aca="false">E26-E$15</f>
        <v>26.8224029204082</v>
      </c>
      <c r="I26" s="15" t="n">
        <f aca="false">F26-F$15</f>
        <v>26.8253333333355</v>
      </c>
      <c r="J26" s="15" t="n">
        <f aca="false">G26-G$15</f>
        <v>26.8253333333355</v>
      </c>
      <c r="K26" s="15" t="n">
        <f aca="false">H26*M_dot</f>
        <v>8.04672087612246</v>
      </c>
      <c r="L26" s="15" t="n">
        <f aca="false">I26*M_dot</f>
        <v>8.04760000000065</v>
      </c>
      <c r="M26" s="15" t="n">
        <f aca="false">J26*M_dot</f>
        <v>8.04760000000065</v>
      </c>
      <c r="N26" s="15" t="n">
        <f aca="false">N25+dz</f>
        <v>3.38365</v>
      </c>
      <c r="O26" s="15" t="n">
        <f aca="false">(K26-K25)/dz</f>
        <v>3.99943145526105</v>
      </c>
      <c r="P26" s="15" t="n">
        <f aca="false">(L26-L25)/dz</f>
        <v>3.99999999999965</v>
      </c>
      <c r="Q26" s="15" t="n">
        <f aca="false">(M26-M25)/dz</f>
        <v>3.99999999999965</v>
      </c>
      <c r="R26" s="15"/>
      <c r="S26" s="15"/>
      <c r="T26" s="15"/>
      <c r="U26" s="15"/>
      <c r="V26" s="15"/>
      <c r="W26" s="15"/>
    </row>
    <row r="27" customFormat="false" ht="12.8" hidden="false" customHeight="false" outlineLevel="0" collapsed="false">
      <c r="A27" s="15"/>
      <c r="B27" s="15" t="n">
        <v>575.199127242901</v>
      </c>
      <c r="C27" s="15" t="n">
        <v>575.201041958377</v>
      </c>
      <c r="D27" s="15" t="n">
        <v>575.201041958377</v>
      </c>
      <c r="E27" s="15" t="n">
        <f aca="false">B27*t_btu_kw/t_lbm_kg</f>
        <v>1337.91157885295</v>
      </c>
      <c r="F27" s="15" t="n">
        <f aca="false">C27*t_btu_kw/t_lbm_kg</f>
        <v>1337.91603247585</v>
      </c>
      <c r="G27" s="15" t="n">
        <f aca="false">D27*t_btu_kw/t_lbm_kg</f>
        <v>1337.91603247585</v>
      </c>
      <c r="H27" s="15" t="n">
        <f aca="false">E27-E$15</f>
        <v>29.2607040874757</v>
      </c>
      <c r="I27" s="15" t="n">
        <f aca="false">F27-F$15</f>
        <v>29.2640000000024</v>
      </c>
      <c r="J27" s="15" t="n">
        <f aca="false">G27-G$15</f>
        <v>29.2640000000024</v>
      </c>
      <c r="K27" s="15" t="n">
        <f aca="false">H27*M_dot</f>
        <v>8.77821122624271</v>
      </c>
      <c r="L27" s="15" t="n">
        <f aca="false">I27*M_dot</f>
        <v>8.77920000000072</v>
      </c>
      <c r="M27" s="15" t="n">
        <f aca="false">J27*M_dot</f>
        <v>8.77920000000072</v>
      </c>
      <c r="N27" s="15" t="n">
        <f aca="false">N26+dz</f>
        <v>3.56655</v>
      </c>
      <c r="O27" s="15" t="n">
        <f aca="false">(K27-K26)/dz</f>
        <v>3.99940049272962</v>
      </c>
      <c r="P27" s="15" t="n">
        <f aca="false">(L27-L26)/dz</f>
        <v>4.00000000000039</v>
      </c>
      <c r="Q27" s="15" t="n">
        <f aca="false">(M27-M26)/dz</f>
        <v>4.00000000000039</v>
      </c>
      <c r="R27" s="15"/>
      <c r="S27" s="15"/>
      <c r="T27" s="15"/>
      <c r="U27" s="15"/>
      <c r="V27" s="15"/>
      <c r="W27" s="15"/>
    </row>
    <row r="28" customFormat="false" ht="12.8" hidden="false" customHeight="false" outlineLevel="0" collapsed="false">
      <c r="A28" s="15"/>
      <c r="B28" s="15" t="n">
        <v>575.199127242901</v>
      </c>
      <c r="C28" s="15" t="n">
        <v>575.201041958377</v>
      </c>
      <c r="D28" s="15" t="n">
        <v>575.201041958377</v>
      </c>
      <c r="E28" s="15" t="n">
        <f aca="false">B28*t_btu_kw/t_lbm_kg</f>
        <v>1337.91157885295</v>
      </c>
      <c r="F28" s="15" t="n">
        <f aca="false">C28*t_btu_kw/t_lbm_kg</f>
        <v>1337.91603247585</v>
      </c>
      <c r="G28" s="15" t="n">
        <f aca="false">D28*t_btu_kw/t_lbm_kg</f>
        <v>1337.91603247585</v>
      </c>
      <c r="H28" s="15" t="n">
        <f aca="false">E28-E$15</f>
        <v>29.2607040874757</v>
      </c>
      <c r="I28" s="15" t="n">
        <f aca="false">F28-F$15</f>
        <v>29.2640000000024</v>
      </c>
      <c r="J28" s="15" t="n">
        <f aca="false">G28-G$15</f>
        <v>29.2640000000024</v>
      </c>
      <c r="K28" s="15" t="n">
        <f aca="false">H28*M_dot</f>
        <v>8.77821122624271</v>
      </c>
      <c r="L28" s="15" t="n">
        <f aca="false">I28*M_dot</f>
        <v>8.77920000000072</v>
      </c>
      <c r="M28" s="15" t="n">
        <f aca="false">J28*M_dot</f>
        <v>8.77920000000072</v>
      </c>
      <c r="N28" s="15" t="n">
        <f aca="false">N27+dz/2</f>
        <v>3.658</v>
      </c>
      <c r="O28" s="15" t="n">
        <f aca="false">(K28-K27)/dz</f>
        <v>0</v>
      </c>
      <c r="P28" s="15" t="n">
        <f aca="false">(L28-L27)/dz</f>
        <v>0</v>
      </c>
      <c r="Q28" s="15" t="n">
        <f aca="false">(M28-M27)/dz</f>
        <v>0</v>
      </c>
      <c r="R28" s="15"/>
      <c r="S28" s="15"/>
      <c r="T28" s="15"/>
      <c r="U28" s="15"/>
      <c r="V28" s="15"/>
      <c r="W28" s="15"/>
    </row>
    <row r="29" customFormat="false" ht="12.8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customFormat="false" ht="12.8" hidden="false" customHeight="false" outlineLevel="0" collapsed="false">
      <c r="A30" s="15" t="s">
        <v>112</v>
      </c>
      <c r="B30" s="15" t="n">
        <f aca="false">(B28-B6)*t_btu_kw/t_lbm_kg*M_dot/L_chan</f>
        <v>3.99963474935224</v>
      </c>
      <c r="C30" s="15" t="n">
        <f aca="false">(C28-C6)*t_btu_kw/t_lbm_kg*M_dot/L_chan</f>
        <v>4.0000000000002</v>
      </c>
      <c r="D30" s="15" t="n">
        <f aca="false">(D28-D6)*t_btu_kw/t_lbm_kg*M_dot/L_chan</f>
        <v>4.0000000000002</v>
      </c>
      <c r="E30" s="15" t="n">
        <f aca="false">(E28-E6)*M_dot/L_chan</f>
        <v>3.99963474935226</v>
      </c>
      <c r="F30" s="15" t="n">
        <f aca="false">(F28-F6)*M_dot/L_chan</f>
        <v>4.0000000000002</v>
      </c>
      <c r="G30" s="15" t="n">
        <f aca="false">(G28-G6)*M_dot/L_chan</f>
        <v>4.0000000000002</v>
      </c>
      <c r="H30" s="15" t="n">
        <f aca="false">H28*M_dot/L_chan</f>
        <v>2.39972969552835</v>
      </c>
      <c r="I30" s="15" t="n">
        <f aca="false">I28*M_dot/L_chan</f>
        <v>2.4000000000002</v>
      </c>
      <c r="J30" s="15" t="n">
        <f aca="false">J28*M_dot/L_chan</f>
        <v>2.4000000000002</v>
      </c>
      <c r="K30" s="15" t="n">
        <f aca="false">K28/L_chan</f>
        <v>2.39972969552835</v>
      </c>
      <c r="L30" s="15" t="n">
        <f aca="false">L28/L_chan</f>
        <v>2.4000000000002</v>
      </c>
      <c r="M30" s="15" t="n">
        <f aca="false">M28/L_chan</f>
        <v>2.4000000000002</v>
      </c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customFormat="false" ht="12.8" hidden="false" customHeight="false" outlineLevel="0" collapsed="false">
      <c r="B31" s="1"/>
      <c r="C31" s="5"/>
      <c r="D31" s="16"/>
      <c r="E31" s="5"/>
      <c r="F31" s="17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customFormat="false" ht="12.8" hidden="false" customHeight="false" outlineLevel="0" collapsed="false">
      <c r="B32" s="1"/>
      <c r="C32" s="5"/>
      <c r="D32" s="16"/>
      <c r="E32" s="5"/>
      <c r="F32" s="17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customFormat="false" ht="12.8" hidden="false" customHeight="false" outlineLevel="0" collapsed="false">
      <c r="B33" s="1"/>
      <c r="C33" s="5"/>
      <c r="D33" s="16"/>
      <c r="E33" s="5"/>
      <c r="F33" s="17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customFormat="false" ht="12.8" hidden="false" customHeight="false" outlineLevel="0" collapsed="false">
      <c r="C34" s="4" t="s">
        <v>113</v>
      </c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customFormat="false" ht="12.8" hidden="false" customHeight="false" outlineLevel="0" collapsed="false">
      <c r="B35" s="0" t="s">
        <v>114</v>
      </c>
      <c r="D35" s="10" t="n">
        <f aca="false">D36</f>
        <v>0.00211162829960637</v>
      </c>
      <c r="E35" s="10" t="n">
        <f aca="false">E36</f>
        <v>0.00472174442113214</v>
      </c>
      <c r="F35" s="0" t="n">
        <f aca="false">F36-E36</f>
        <v>0.00289183968781947</v>
      </c>
      <c r="G35" s="0" t="n">
        <f aca="false">G36-F36</f>
        <v>0.00294455738908029</v>
      </c>
      <c r="H35" s="0" t="n">
        <f aca="false">H36-G36</f>
        <v>0.0028801787119419</v>
      </c>
      <c r="I35" s="0" t="n">
        <f aca="false">I36-H36</f>
        <v>0.000275590551181102</v>
      </c>
      <c r="J35" s="0" t="n">
        <f aca="false">J36-I36</f>
        <v>0.0018700787401574</v>
      </c>
      <c r="K35" s="1" t="s">
        <v>115</v>
      </c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customFormat="false" ht="12.8" hidden="false" customHeight="false" outlineLevel="0" collapsed="false">
      <c r="B36" s="0" t="s">
        <v>116</v>
      </c>
      <c r="C36" s="10" t="n">
        <v>0</v>
      </c>
      <c r="D36" s="10" t="n">
        <v>0.00211162829960637</v>
      </c>
      <c r="E36" s="10" t="n">
        <v>0.00472174442113214</v>
      </c>
      <c r="F36" s="10" t="n">
        <v>0.00761358410895161</v>
      </c>
      <c r="G36" s="10" t="n">
        <v>0.0105581414980319</v>
      </c>
      <c r="H36" s="10" t="n">
        <v>0.0134383202099738</v>
      </c>
      <c r="I36" s="10" t="n">
        <v>0.0137139107611549</v>
      </c>
      <c r="J36" s="10" t="n">
        <v>0.0155839895013123</v>
      </c>
      <c r="K36" s="18" t="n">
        <f aca="false">(t_in+q_lin*dz*2/(M_dot*cp_in))*9/5+32</f>
        <v>555.682193565694</v>
      </c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customFormat="false" ht="12.8" hidden="false" customHeight="false" outlineLevel="0" collapsed="false">
      <c r="A37" s="0" t="s">
        <v>117</v>
      </c>
      <c r="B37" s="1" t="s">
        <v>118</v>
      </c>
      <c r="C37" s="5" t="n">
        <f aca="false">D37</f>
        <v>723.879503</v>
      </c>
      <c r="D37" s="19" t="n">
        <v>723.879503</v>
      </c>
      <c r="E37" s="5" t="n">
        <v>714.681693</v>
      </c>
      <c r="F37" s="5" t="n">
        <v>694.300461</v>
      </c>
      <c r="G37" s="5" t="n">
        <v>663.171091</v>
      </c>
      <c r="H37" s="5" t="n">
        <v>622.572385</v>
      </c>
      <c r="I37" s="5" t="n">
        <v>573.305571</v>
      </c>
      <c r="J37" s="5" t="n">
        <v>563.441766</v>
      </c>
      <c r="K37" s="10" t="n">
        <f aca="false">K36</f>
        <v>555.682193565694</v>
      </c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customFormat="false" ht="12.8" hidden="false" customHeight="false" outlineLevel="0" collapsed="false">
      <c r="A38" s="0" t="s">
        <v>117</v>
      </c>
      <c r="B38" s="1" t="s">
        <v>119</v>
      </c>
      <c r="C38" s="5" t="n">
        <f aca="false">D38</f>
        <v>723.888623</v>
      </c>
      <c r="D38" s="20" t="n">
        <v>723.888623</v>
      </c>
      <c r="E38" s="0" t="n">
        <v>714.690167</v>
      </c>
      <c r="F38" s="0" t="n">
        <v>694.30758</v>
      </c>
      <c r="G38" s="0" t="n">
        <v>663.176344</v>
      </c>
      <c r="H38" s="0" t="n">
        <v>622.57555</v>
      </c>
      <c r="I38" s="0" t="n">
        <v>573.306482</v>
      </c>
      <c r="J38" s="0" t="n">
        <v>563.442214</v>
      </c>
      <c r="K38" s="10" t="n">
        <f aca="false">K37</f>
        <v>555.682193565694</v>
      </c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customFormat="false" ht="12.8" hidden="false" customHeight="false" outlineLevel="0" collapsed="false">
      <c r="A39" s="0" t="s">
        <v>117</v>
      </c>
      <c r="B39" s="1" t="s">
        <v>120</v>
      </c>
      <c r="C39" s="5" t="n">
        <f aca="false">D39</f>
        <v>723.836036</v>
      </c>
      <c r="D39" s="20" t="n">
        <v>723.836036</v>
      </c>
      <c r="E39" s="0" t="n">
        <v>714.641303</v>
      </c>
      <c r="F39" s="10" t="n">
        <v>694.266526</v>
      </c>
      <c r="G39" s="10" t="n">
        <v>663.146056</v>
      </c>
      <c r="H39" s="10" t="n">
        <v>622.557301</v>
      </c>
      <c r="I39" s="10" t="n">
        <v>573.301228</v>
      </c>
      <c r="J39" s="10" t="n">
        <v>563.439629</v>
      </c>
      <c r="K39" s="10" t="n">
        <f aca="false">K38</f>
        <v>555.682193565694</v>
      </c>
      <c r="M39" s="15" t="s">
        <v>112</v>
      </c>
      <c r="N39" s="15" t="e">
        <f aca="false">(N37-H6)*t_btu_kw/t_lbm_kg*M_dot/L_chan</f>
        <v>#VALUE!</v>
      </c>
      <c r="O39" s="15" t="e">
        <f aca="false">(O37-I6)*t_btu_kw/t_lbm_kg*M_dot/L_chan</f>
        <v>#VALUE!</v>
      </c>
      <c r="P39" s="15" t="e">
        <f aca="false">(P37-J6)*t_btu_kw/t_lbm_kg*M_dot/L_chan</f>
        <v>#VALUE!</v>
      </c>
      <c r="Q39" s="15" t="e">
        <f aca="false">(Q37-K6)*M_dot/L_chan</f>
        <v>#VALUE!</v>
      </c>
      <c r="R39" s="15" t="e">
        <f aca="false">(R37-L6)*M_dot/L_chan</f>
        <v>#VALUE!</v>
      </c>
      <c r="S39" s="15" t="e">
        <f aca="false">(S37-M6)*M_dot/L_chan</f>
        <v>#VALUE!</v>
      </c>
      <c r="T39" s="15" t="n">
        <f aca="false">T37*M_dot/L_chan</f>
        <v>0</v>
      </c>
      <c r="U39" s="15" t="n">
        <f aca="false">U37*M_dot/L_chan</f>
        <v>0</v>
      </c>
      <c r="V39" s="15" t="n">
        <f aca="false">V37*M_dot/L_chan</f>
        <v>0</v>
      </c>
      <c r="W39" s="15" t="n">
        <f aca="false">W37/L_chan</f>
        <v>0</v>
      </c>
      <c r="X39" s="15" t="n">
        <f aca="false">X37/L_chan</f>
        <v>0</v>
      </c>
      <c r="Y39" s="15" t="n">
        <f aca="false">Y37/L_chan</f>
        <v>0</v>
      </c>
      <c r="Z39" s="15"/>
      <c r="AA39" s="15"/>
      <c r="AB39" s="15"/>
      <c r="AC39" s="15"/>
    </row>
    <row r="40" customFormat="false" ht="12.8" hidden="false" customHeight="false" outlineLevel="0" collapsed="false">
      <c r="C40" s="4" t="s">
        <v>121</v>
      </c>
      <c r="K40" s="0" t="n">
        <f aca="false">D35/D7*I40</f>
        <v>0</v>
      </c>
    </row>
    <row r="41" customFormat="false" ht="12.8" hidden="false" customHeight="false" outlineLevel="0" collapsed="false">
      <c r="B41" s="1" t="s">
        <v>122</v>
      </c>
      <c r="C41" s="5" t="n">
        <f aca="false">(C36)*t_ft_m*100</f>
        <v>0</v>
      </c>
      <c r="D41" s="5" t="n">
        <f aca="false">(D36)*t_ft_m*100</f>
        <v>0.0643624305720022</v>
      </c>
      <c r="E41" s="5" t="n">
        <f aca="false">(E36)*t_ft_m*100</f>
        <v>0.143918769956108</v>
      </c>
      <c r="F41" s="5" t="n">
        <f aca="false">(F36)*t_ft_m*100</f>
        <v>0.232062043640845</v>
      </c>
      <c r="G41" s="5" t="n">
        <f aca="false">(G36)*t_ft_m*100</f>
        <v>0.321812152860012</v>
      </c>
      <c r="H41" s="5" t="n">
        <f aca="false">(H36)*t_ft_m*100</f>
        <v>0.409600000000001</v>
      </c>
      <c r="I41" s="5" t="n">
        <f aca="false">(I36)*t_ft_m*100</f>
        <v>0.418000000000001</v>
      </c>
      <c r="J41" s="5" t="n">
        <f aca="false">(J36)*t_ft_m*100</f>
        <v>0.474999999999999</v>
      </c>
      <c r="L41" s="5"/>
      <c r="M41" s="3" t="s">
        <v>123</v>
      </c>
      <c r="N41" s="8"/>
      <c r="O41" s="1"/>
      <c r="P41" s="1"/>
      <c r="Q41" s="1"/>
      <c r="R41" s="1"/>
      <c r="S41" s="1"/>
      <c r="T41" s="1"/>
      <c r="U41" s="1"/>
    </row>
    <row r="42" customFormat="false" ht="12.8" hidden="false" customHeight="false" outlineLevel="0" collapsed="false">
      <c r="A42" s="0" t="s">
        <v>124</v>
      </c>
      <c r="B42" s="1" t="s">
        <v>125</v>
      </c>
      <c r="C42" s="5" t="n">
        <f aca="false">q_dot*1000/(4*k_fuel)*((R_fuel/100)^2)*(1-(C41/R_fuel)^2)+delta_gap+delta_clad</f>
        <v>92.3834112916388</v>
      </c>
      <c r="D42" s="5" t="n">
        <f aca="false">q_dot*1000/(4*k_fuel)*((R_fuel/100)^2)*(1-(D41/R_fuel)^2)+delta_gap+delta_clad</f>
        <v>90.921740965468</v>
      </c>
      <c r="E42" s="5" t="n">
        <f aca="false">q_dot*1000/(4*k_fuel)*((R_fuel/100)^2)*(1-(E41/R_fuel)^2)+delta_gap+delta_clad</f>
        <v>85.0750596607846</v>
      </c>
      <c r="F42" s="5" t="n">
        <f aca="false">q_dot*1000/(4*k_fuel)*((R_fuel/100)^2)*(1-(F41/R_fuel)^2)+delta_gap+delta_clad</f>
        <v>73.3816970514178</v>
      </c>
      <c r="G42" s="5" t="n">
        <f aca="false">q_dot*1000/(4*k_fuel)*((R_fuel/100)^2)*(1-(G41/R_fuel)^2)+delta_gap+delta_clad</f>
        <v>55.8416531373673</v>
      </c>
      <c r="H42" s="5" t="n">
        <f aca="false">delta_gap+delta_clad</f>
        <v>33.1857630817195</v>
      </c>
      <c r="I42" s="5" t="n">
        <f aca="false">delta_clad</f>
        <v>5.81405867843346</v>
      </c>
      <c r="J42" s="5" t="n">
        <v>0</v>
      </c>
      <c r="K42" s="5" t="n">
        <f aca="false">-delta_fluid</f>
        <v>-3.96106367480532</v>
      </c>
      <c r="L42" s="1" t="s">
        <v>118</v>
      </c>
      <c r="M42" s="7" t="n">
        <f aca="false">C43-C$42</f>
        <v>-3.25133518052772</v>
      </c>
      <c r="N42" s="7" t="n">
        <f aca="false">D43-D$42</f>
        <v>-1.78966485435687</v>
      </c>
      <c r="O42" s="7" t="n">
        <f aca="false">E43-E$42</f>
        <v>-1.05287799411792</v>
      </c>
      <c r="P42" s="7" t="n">
        <f aca="false">F43-F$42</f>
        <v>-0.68242205141776</v>
      </c>
      <c r="Q42" s="7" t="n">
        <f aca="false">G43-G$42</f>
        <v>-0.436472581811742</v>
      </c>
      <c r="R42" s="7" t="n">
        <f aca="false">C43-C$31</f>
        <v>89.1320761111111</v>
      </c>
      <c r="S42" s="7" t="n">
        <f aca="false">D43-D$31</f>
        <v>89.1320761111111</v>
      </c>
      <c r="T42" s="7" t="n">
        <f aca="false">E43-E$31</f>
        <v>84.0221816666667</v>
      </c>
      <c r="U42" s="7" t="n">
        <f aca="false">F43-F$31</f>
        <v>72.699275</v>
      </c>
      <c r="V42" s="7" t="n">
        <f aca="false">H43-H$42</f>
        <v>-0.335419192830585</v>
      </c>
      <c r="W42" s="7" t="n">
        <f aca="false">H43-H$42</f>
        <v>-0.335419192830585</v>
      </c>
      <c r="X42" s="7" t="n">
        <f aca="false">I43-I$42</f>
        <v>-0.334167011766821</v>
      </c>
      <c r="Y42" s="7" t="n">
        <f aca="false">J43-J$42</f>
        <v>0</v>
      </c>
    </row>
    <row r="43" customFormat="false" ht="12.8" hidden="false" customHeight="false" outlineLevel="0" collapsed="false">
      <c r="A43" s="0" t="s">
        <v>124</v>
      </c>
      <c r="B43" s="1" t="s">
        <v>118</v>
      </c>
      <c r="C43" s="5" t="n">
        <f aca="false">(C37-$J37)*t_R_K</f>
        <v>89.1320761111111</v>
      </c>
      <c r="D43" s="5" t="n">
        <f aca="false">(D37-$J37)*t_R_K</f>
        <v>89.1320761111111</v>
      </c>
      <c r="E43" s="5" t="n">
        <f aca="false">(E37-$J37)*t_R_K</f>
        <v>84.0221816666667</v>
      </c>
      <c r="F43" s="5" t="n">
        <f aca="false">(F37-$J37)*t_R_K</f>
        <v>72.699275</v>
      </c>
      <c r="G43" s="5" t="n">
        <f aca="false">(G37-$J37)*t_R_K</f>
        <v>55.4051805555556</v>
      </c>
      <c r="H43" s="5" t="n">
        <f aca="false">(H37-$J37)*t_R_K</f>
        <v>32.8503438888889</v>
      </c>
      <c r="I43" s="5" t="n">
        <f aca="false">(I37-$J37)*t_R_K</f>
        <v>5.47989166666664</v>
      </c>
      <c r="J43" s="5" t="n">
        <f aca="false">(J37-$J37)*t_R_K</f>
        <v>0</v>
      </c>
      <c r="K43" s="5" t="n">
        <f aca="false">(K37-$J37)*t_R_K</f>
        <v>-4.31087357461447</v>
      </c>
      <c r="L43" s="1" t="s">
        <v>119</v>
      </c>
      <c r="M43" s="7" t="n">
        <f aca="false">C44-C$42</f>
        <v>-3.24651740274992</v>
      </c>
      <c r="N43" s="7" t="n">
        <f aca="false">D44-D$42</f>
        <v>-1.78484707657907</v>
      </c>
      <c r="O43" s="7" t="n">
        <f aca="false">E44-E$42</f>
        <v>-1.04841910522904</v>
      </c>
      <c r="P43" s="7" t="n">
        <f aca="false">F44-F$42</f>
        <v>-0.67871594030666</v>
      </c>
      <c r="Q43" s="7" t="n">
        <f aca="false">G44-G$42</f>
        <v>-0.433803137367342</v>
      </c>
      <c r="R43" s="7" t="n">
        <f aca="false">C44-C$31</f>
        <v>89.1368938888889</v>
      </c>
      <c r="S43" s="7" t="n">
        <f aca="false">D44-D$31</f>
        <v>89.1368938888889</v>
      </c>
      <c r="T43" s="7" t="n">
        <f aca="false">E44-E$31</f>
        <v>84.0266405555555</v>
      </c>
      <c r="U43" s="7" t="n">
        <f aca="false">F44-F$31</f>
        <v>72.7029811111111</v>
      </c>
      <c r="V43" s="7" t="n">
        <f aca="false">H44-H$42</f>
        <v>-0.333909748386162</v>
      </c>
      <c r="W43" s="7" t="n">
        <f aca="false">H44-H$42</f>
        <v>-0.333909748386162</v>
      </c>
      <c r="X43" s="7" t="n">
        <f aca="false">I44-I$42</f>
        <v>-0.333909789544617</v>
      </c>
      <c r="Y43" s="7" t="n">
        <f aca="false">J44-J$42</f>
        <v>0</v>
      </c>
    </row>
    <row r="44" customFormat="false" ht="12.8" hidden="false" customHeight="false" outlineLevel="0" collapsed="false">
      <c r="A44" s="0" t="s">
        <v>124</v>
      </c>
      <c r="B44" s="1" t="s">
        <v>119</v>
      </c>
      <c r="C44" s="5" t="n">
        <f aca="false">(C38-$J38)*t_R_K</f>
        <v>89.1368938888889</v>
      </c>
      <c r="D44" s="5" t="n">
        <f aca="false">(D38-$J38)*t_R_K</f>
        <v>89.1368938888889</v>
      </c>
      <c r="E44" s="5" t="n">
        <f aca="false">(E38-$J38)*t_R_K</f>
        <v>84.0266405555555</v>
      </c>
      <c r="F44" s="5" t="n">
        <f aca="false">(F38-$J38)*t_R_K</f>
        <v>72.7029811111111</v>
      </c>
      <c r="G44" s="5" t="n">
        <f aca="false">(G38-$J38)*t_R_K</f>
        <v>55.40785</v>
      </c>
      <c r="H44" s="5" t="n">
        <f aca="false">(H38-$J38)*t_R_K</f>
        <v>32.8518533333333</v>
      </c>
      <c r="I44" s="5" t="n">
        <f aca="false">(I38-$J38)*t_R_K</f>
        <v>5.48014888888885</v>
      </c>
      <c r="J44" s="5" t="n">
        <f aca="false">(J38-$J38)*t_R_K</f>
        <v>0</v>
      </c>
      <c r="K44" s="5" t="n">
        <f aca="false">(K38-$J38)*t_R_K</f>
        <v>-4.31112246350337</v>
      </c>
      <c r="L44" s="1" t="s">
        <v>120</v>
      </c>
      <c r="M44" s="7" t="n">
        <f aca="false">C45-C$42</f>
        <v>-3.27429629163878</v>
      </c>
      <c r="N44" s="7" t="n">
        <f aca="false">D45-D$42</f>
        <v>-1.81262596546793</v>
      </c>
      <c r="O44" s="7" t="n">
        <f aca="false">E45-E$42</f>
        <v>-1.07412966078456</v>
      </c>
      <c r="P44" s="7" t="n">
        <f aca="false">F45-F$42</f>
        <v>-0.700087606973312</v>
      </c>
      <c r="Q44" s="7" t="n">
        <f aca="false">G45-G$42</f>
        <v>-0.449193692922819</v>
      </c>
      <c r="R44" s="7" t="n">
        <f aca="false">C45-C$31</f>
        <v>89.109115</v>
      </c>
      <c r="S44" s="7" t="n">
        <f aca="false">D45-D$31</f>
        <v>89.109115</v>
      </c>
      <c r="T44" s="7" t="n">
        <f aca="false">E45-E$31</f>
        <v>84.00093</v>
      </c>
      <c r="U44" s="7" t="n">
        <f aca="false">F45-F$31</f>
        <v>72.6816094444445</v>
      </c>
      <c r="V44" s="7" t="n">
        <f aca="false">H45-H$42</f>
        <v>-0.342611970608324</v>
      </c>
      <c r="W44" s="7" t="n">
        <f aca="false">H45-H$42</f>
        <v>-0.342611970608324</v>
      </c>
      <c r="X44" s="7" t="n">
        <f aca="false">I45-I$42</f>
        <v>-0.335392567322314</v>
      </c>
      <c r="Y44" s="7" t="n">
        <f aca="false">J45-J$42</f>
        <v>0</v>
      </c>
    </row>
    <row r="45" customFormat="false" ht="12.8" hidden="false" customHeight="false" outlineLevel="0" collapsed="false">
      <c r="A45" s="0" t="s">
        <v>124</v>
      </c>
      <c r="B45" s="1" t="s">
        <v>120</v>
      </c>
      <c r="C45" s="5" t="n">
        <f aca="false">(C39-$J39)*t_R_K</f>
        <v>89.109115</v>
      </c>
      <c r="D45" s="5" t="n">
        <f aca="false">(D39-$J39)*t_R_K</f>
        <v>89.109115</v>
      </c>
      <c r="E45" s="5" t="n">
        <f aca="false">(E39-$J39)*t_R_K</f>
        <v>84.00093</v>
      </c>
      <c r="F45" s="5" t="n">
        <f aca="false">(F39-$J39)*t_R_K</f>
        <v>72.6816094444445</v>
      </c>
      <c r="G45" s="5" t="n">
        <f aca="false">(G39-$J39)*t_R_K</f>
        <v>55.3924594444445</v>
      </c>
      <c r="H45" s="5" t="n">
        <f aca="false">(H39-$J39)*t_R_K</f>
        <v>32.8431511111112</v>
      </c>
      <c r="I45" s="5" t="n">
        <f aca="false">(I39-$J39)*t_R_K</f>
        <v>5.47866611111115</v>
      </c>
      <c r="J45" s="5" t="n">
        <f aca="false">(J39-$J39)*t_R_K</f>
        <v>0</v>
      </c>
      <c r="K45" s="5" t="n">
        <f aca="false">(K39-$J39)*t_R_K</f>
        <v>-4.30968635239222</v>
      </c>
    </row>
    <row r="46" customFormat="false" ht="12.8" hidden="false" customHeight="false" outlineLevel="0" collapsed="false">
      <c r="B46" s="1"/>
      <c r="C46" s="5"/>
      <c r="D46" s="5"/>
      <c r="E46" s="5"/>
      <c r="F46" s="5"/>
      <c r="G46" s="5"/>
      <c r="H46" s="5"/>
      <c r="I46" s="5"/>
      <c r="J46" s="5"/>
      <c r="K46" s="5"/>
    </row>
    <row r="47" customFormat="false" ht="12.8" hidden="false" customHeight="false" outlineLevel="0" collapsed="false">
      <c r="C47" s="4" t="s">
        <v>126</v>
      </c>
    </row>
    <row r="48" customFormat="false" ht="12.8" hidden="false" customHeight="false" outlineLevel="0" collapsed="false">
      <c r="B48" s="1" t="s">
        <v>122</v>
      </c>
      <c r="C48" s="8" t="n">
        <f aca="false">(C36)*t_ft_m*100</f>
        <v>0</v>
      </c>
      <c r="D48" s="8" t="n">
        <f aca="false">(D36)*t_ft_m*100</f>
        <v>0.0643624305720022</v>
      </c>
      <c r="E48" s="8" t="n">
        <f aca="false">(E36)*t_ft_m*100</f>
        <v>0.143918769956108</v>
      </c>
      <c r="F48" s="8" t="n">
        <f aca="false">(F36)*t_ft_m*100</f>
        <v>0.232062043640845</v>
      </c>
      <c r="G48" s="8" t="n">
        <f aca="false">(G36)*t_ft_m*100</f>
        <v>0.321812152860012</v>
      </c>
      <c r="H48" s="8" t="n">
        <f aca="false">(H36)*t_ft_m*100</f>
        <v>0.409600000000001</v>
      </c>
      <c r="I48" s="8" t="n">
        <f aca="false">(I36)*t_ft_m*100</f>
        <v>0.418000000000001</v>
      </c>
      <c r="J48" s="8" t="n">
        <f aca="false">(J36)*t_ft_m*100</f>
        <v>0.474999999999999</v>
      </c>
      <c r="K48" s="8"/>
    </row>
    <row r="49" customFormat="false" ht="12.8" hidden="false" customHeight="false" outlineLevel="0" collapsed="false">
      <c r="A49" s="0" t="s">
        <v>124</v>
      </c>
      <c r="B49" s="1" t="s">
        <v>125</v>
      </c>
      <c r="C49" s="5" t="n">
        <f aca="false">C42+$K49-$K42</f>
        <v>387.279026947385</v>
      </c>
      <c r="D49" s="5" t="n">
        <f aca="false">D42+$K49-$K42</f>
        <v>385.817356621214</v>
      </c>
      <c r="E49" s="5" t="n">
        <f aca="false">E42+$K49-$K42</f>
        <v>379.970675316531</v>
      </c>
      <c r="F49" s="5" t="n">
        <f aca="false">F42+$K49-$K42</f>
        <v>368.277312707164</v>
      </c>
      <c r="G49" s="5" t="n">
        <f aca="false">G42+$K49-$K42</f>
        <v>350.737268793114</v>
      </c>
      <c r="H49" s="5" t="n">
        <f aca="false">H42+$K49-$K42</f>
        <v>328.081378737466</v>
      </c>
      <c r="I49" s="5" t="n">
        <f aca="false">I42+$K49-$K42</f>
        <v>300.70967433418</v>
      </c>
      <c r="J49" s="5" t="n">
        <f aca="false">J42+$K49-$K42</f>
        <v>294.895615655746</v>
      </c>
      <c r="K49" s="5" t="n">
        <f aca="false">5/9*(K36-32)</f>
        <v>290.934551980941</v>
      </c>
      <c r="L49" s="5"/>
      <c r="M49" s="3" t="s">
        <v>127</v>
      </c>
      <c r="N49" s="8"/>
      <c r="O49" s="1"/>
      <c r="P49" s="1"/>
      <c r="Q49" s="1"/>
      <c r="R49" s="1"/>
      <c r="S49" s="1"/>
      <c r="T49" s="1"/>
      <c r="U49" s="1"/>
    </row>
    <row r="50" customFormat="false" ht="12.8" hidden="false" customHeight="false" outlineLevel="0" collapsed="false">
      <c r="A50" s="0" t="s">
        <v>124</v>
      </c>
      <c r="B50" s="1" t="s">
        <v>118</v>
      </c>
      <c r="C50" s="5" t="n">
        <f aca="false">C43+$K50-$K43</f>
        <v>384.377501666667</v>
      </c>
      <c r="D50" s="5" t="n">
        <f aca="false">D43+$K50-$K43</f>
        <v>384.377501666667</v>
      </c>
      <c r="E50" s="5" t="n">
        <f aca="false">E43+$K50-$K43</f>
        <v>379.267607222222</v>
      </c>
      <c r="F50" s="5" t="n">
        <f aca="false">F43+$K50-$K43</f>
        <v>367.944700555556</v>
      </c>
      <c r="G50" s="5" t="n">
        <f aca="false">G43+$K50-$K43</f>
        <v>350.650606111111</v>
      </c>
      <c r="H50" s="5" t="n">
        <f aca="false">H43+$K50-$K43</f>
        <v>328.095769444444</v>
      </c>
      <c r="I50" s="5" t="n">
        <f aca="false">I43+$K50-$K43</f>
        <v>300.725317222222</v>
      </c>
      <c r="J50" s="5" t="n">
        <f aca="false">J43+$K50-$K43</f>
        <v>295.245425555556</v>
      </c>
      <c r="K50" s="5" t="n">
        <f aca="false">5/9*(K37-32)</f>
        <v>290.934551980941</v>
      </c>
      <c r="L50" s="1" t="s">
        <v>118</v>
      </c>
      <c r="M50" s="21" t="n">
        <f aca="false">(C50-C$49)/C$49</f>
        <v>-0.00749207955718381</v>
      </c>
      <c r="N50" s="21" t="n">
        <f aca="false">(D50-D$49)/D$49</f>
        <v>-0.00373196003196221</v>
      </c>
      <c r="O50" s="21" t="n">
        <f aca="false">(E50-E$49)/E$49</f>
        <v>-0.00185032198530345</v>
      </c>
      <c r="P50" s="21" t="n">
        <f aca="false">(F50-F$49)/F$49</f>
        <v>-0.000903156779231408</v>
      </c>
      <c r="Q50" s="21" t="n">
        <f aca="false">(G50-G$49)/G$49</f>
        <v>-0.000247087178105758</v>
      </c>
      <c r="R50" s="21" t="n">
        <f aca="false">(C50-C$37)/C$37</f>
        <v>-0.469003473542658</v>
      </c>
      <c r="S50" s="21" t="n">
        <f aca="false">(D50-D$37)/D$37</f>
        <v>-0.469003473542658</v>
      </c>
      <c r="T50" s="21" t="n">
        <f aca="false">(E50-E$37)/E$37</f>
        <v>-0.469319543319795</v>
      </c>
      <c r="U50" s="21" t="n">
        <f aca="false">(F50-F$37)/F$37</f>
        <v>-0.470049753350869</v>
      </c>
      <c r="V50" s="21" t="n">
        <f aca="false">(H50-H$49)/H$49</f>
        <v>4.38632239170874E-005</v>
      </c>
      <c r="W50" s="21" t="n">
        <f aca="false">(H50-H$49)/H$49</f>
        <v>4.38632239170874E-005</v>
      </c>
      <c r="X50" s="21" t="n">
        <f aca="false">(I50-I$49)/I$49</f>
        <v>5.20199028412688E-005</v>
      </c>
      <c r="Y50" s="21" t="n">
        <f aca="false">(J50-J$49)/J$49</f>
        <v>0.00118621600742109</v>
      </c>
    </row>
    <row r="51" customFormat="false" ht="12.8" hidden="false" customHeight="false" outlineLevel="0" collapsed="false">
      <c r="A51" s="0" t="s">
        <v>124</v>
      </c>
      <c r="B51" s="1" t="s">
        <v>119</v>
      </c>
      <c r="C51" s="5" t="n">
        <f aca="false">C44+$K51-$K44</f>
        <v>384.382568333333</v>
      </c>
      <c r="D51" s="5" t="n">
        <f aca="false">D44+$K51-$K44</f>
        <v>384.382568333333</v>
      </c>
      <c r="E51" s="5" t="n">
        <f aca="false">E44+$K51-$K44</f>
        <v>379.272315</v>
      </c>
      <c r="F51" s="5" t="n">
        <f aca="false">F44+$K51-$K44</f>
        <v>367.948655555556</v>
      </c>
      <c r="G51" s="5" t="n">
        <f aca="false">G44+$K51-$K44</f>
        <v>350.653524444444</v>
      </c>
      <c r="H51" s="5" t="n">
        <f aca="false">H44+$K51-$K44</f>
        <v>328.097527777778</v>
      </c>
      <c r="I51" s="5" t="n">
        <f aca="false">I44+$K51-$K44</f>
        <v>300.725823333333</v>
      </c>
      <c r="J51" s="5" t="n">
        <f aca="false">J44+$K51-$K44</f>
        <v>295.245674444444</v>
      </c>
      <c r="K51" s="5" t="n">
        <f aca="false">5/9*(K38-32)</f>
        <v>290.934551980941</v>
      </c>
      <c r="L51" s="1" t="s">
        <v>119</v>
      </c>
      <c r="M51" s="21" t="n">
        <f aca="false">(C51-C$49)/C$49</f>
        <v>-0.00747899682790048</v>
      </c>
      <c r="N51" s="21" t="n">
        <f aca="false">(D51-D$49)/D$49</f>
        <v>-0.00371882773871591</v>
      </c>
      <c r="O51" s="21" t="n">
        <f aca="false">(E51-E$49)/E$49</f>
        <v>-0.00183793214028741</v>
      </c>
      <c r="P51" s="21" t="n">
        <f aca="false">(F51-F$49)/F$49</f>
        <v>-0.000892417589323275</v>
      </c>
      <c r="Q51" s="21" t="n">
        <f aca="false">(G51-G$49)/G$49</f>
        <v>-0.000238766609996928</v>
      </c>
      <c r="R51" s="21" t="n">
        <f aca="false">(C51-C$37)/C$37</f>
        <v>-0.468996474219366</v>
      </c>
      <c r="S51" s="21" t="n">
        <f aca="false">(D51-D$37)/D$37</f>
        <v>-0.468996474219366</v>
      </c>
      <c r="T51" s="21" t="n">
        <f aca="false">(E51-E$37)/E$37</f>
        <v>-0.469312956082674</v>
      </c>
      <c r="U51" s="21" t="n">
        <f aca="false">(F51-F$37)/F$37</f>
        <v>-0.470044056969803</v>
      </c>
      <c r="V51" s="21" t="n">
        <f aca="false">(H51-H$49)/H$49</f>
        <v>4.92226665654152E-005</v>
      </c>
      <c r="W51" s="21" t="n">
        <f aca="false">(H51-H$49)/H$49</f>
        <v>4.92226665654152E-005</v>
      </c>
      <c r="X51" s="21" t="n">
        <f aca="false">(I51-I$49)/I$49</f>
        <v>5.37029584737235E-005</v>
      </c>
      <c r="Y51" s="21" t="n">
        <f aca="false">(J51-J$49)/J$49</f>
        <v>0.00118705999721169</v>
      </c>
    </row>
    <row r="52" customFormat="false" ht="12.8" hidden="false" customHeight="false" outlineLevel="0" collapsed="false">
      <c r="A52" s="0" t="s">
        <v>124</v>
      </c>
      <c r="B52" s="1" t="s">
        <v>120</v>
      </c>
      <c r="C52" s="5" t="n">
        <f aca="false">C45+$K52-$K45</f>
        <v>384.353353333333</v>
      </c>
      <c r="D52" s="5" t="n">
        <f aca="false">D45+$K52-$K45</f>
        <v>384.353353333333</v>
      </c>
      <c r="E52" s="5" t="n">
        <f aca="false">E45+$K52-$K45</f>
        <v>379.245168333333</v>
      </c>
      <c r="F52" s="5" t="n">
        <f aca="false">F45+$K52-$K45</f>
        <v>367.925847777778</v>
      </c>
      <c r="G52" s="5" t="n">
        <f aca="false">G45+$K52-$K45</f>
        <v>350.636697777778</v>
      </c>
      <c r="H52" s="5" t="n">
        <f aca="false">H45+$K52-$K45</f>
        <v>328.087389444445</v>
      </c>
      <c r="I52" s="5" t="n">
        <f aca="false">I45+$K52-$K45</f>
        <v>300.722904444444</v>
      </c>
      <c r="J52" s="5" t="n">
        <f aca="false">J45+$K52-$K45</f>
        <v>295.244238333333</v>
      </c>
      <c r="K52" s="5" t="n">
        <f aca="false">5/9*(K39-32)</f>
        <v>290.934551980941</v>
      </c>
      <c r="L52" s="1" t="s">
        <v>120</v>
      </c>
      <c r="M52" s="21" t="n">
        <f aca="false">(C52-C$49)/C$49</f>
        <v>-0.00755443339421883</v>
      </c>
      <c r="N52" s="21" t="n">
        <f aca="false">(D52-D$49)/D$49</f>
        <v>-0.00379455009671419</v>
      </c>
      <c r="O52" s="21" t="n">
        <f aca="false">(E52-E$49)/E$49</f>
        <v>-0.00190937625013633</v>
      </c>
      <c r="P52" s="21" t="n">
        <f aca="false">(F52-F$49)/F$49</f>
        <v>-0.000954348577170875</v>
      </c>
      <c r="Q52" s="21" t="n">
        <f aca="false">(G52-G$49)/G$49</f>
        <v>-0.000286741741708734</v>
      </c>
      <c r="R52" s="21" t="n">
        <f aca="false">(C52-C$37)/C$37</f>
        <v>-0.46903683314634</v>
      </c>
      <c r="S52" s="21" t="n">
        <f aca="false">(D52-D$37)/D$37</f>
        <v>-0.46903683314634</v>
      </c>
      <c r="T52" s="21" t="n">
        <f aca="false">(E52-E$37)/E$37</f>
        <v>-0.469350940358657</v>
      </c>
      <c r="U52" s="21" t="n">
        <f aca="false">(F52-F$37)/F$37</f>
        <v>-0.470076906980798</v>
      </c>
      <c r="V52" s="21" t="n">
        <f aca="false">(H52-H$49)/H$49</f>
        <v>1.83207806603672E-005</v>
      </c>
      <c r="W52" s="21" t="n">
        <f aca="false">(H52-H$49)/H$49</f>
        <v>1.83207806603672E-005</v>
      </c>
      <c r="X52" s="21" t="n">
        <f aca="false">(I52-I$49)/I$49</f>
        <v>4.399629075399E-005</v>
      </c>
      <c r="Y52" s="21" t="n">
        <f aca="false">(J52-J$49)/J$49</f>
        <v>0.00118219010076386</v>
      </c>
    </row>
    <row r="53" customFormat="false" ht="12.8" hidden="false" customHeight="false" outlineLevel="0" collapsed="false">
      <c r="Q53" s="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6" customFormat="false" ht="12.8" hidden="false" customHeight="false" outlineLevel="0" collapsed="false">
      <c r="C56" s="1"/>
      <c r="D56" s="1" t="s">
        <v>128</v>
      </c>
    </row>
    <row r="57" customFormat="false" ht="12.8" hidden="false" customHeight="false" outlineLevel="0" collapsed="false">
      <c r="B57" s="5"/>
      <c r="C57" s="5"/>
      <c r="D57" s="19" t="n">
        <v>723.879503</v>
      </c>
      <c r="E57" s="5" t="n">
        <v>714.681693</v>
      </c>
      <c r="F57" s="5" t="n">
        <v>694.300461</v>
      </c>
      <c r="G57" s="5" t="n">
        <v>663.171091</v>
      </c>
      <c r="H57" s="5" t="n">
        <v>622.572385</v>
      </c>
      <c r="I57" s="5" t="n">
        <v>573.305571</v>
      </c>
      <c r="J57" s="5" t="n">
        <v>563.441766</v>
      </c>
      <c r="K57" s="5"/>
      <c r="L57" s="5"/>
      <c r="M57" s="5"/>
      <c r="N57" s="5"/>
      <c r="O57" s="5"/>
      <c r="P57" s="5"/>
    </row>
    <row r="58" customFormat="false" ht="12.8" hidden="false" customHeight="false" outlineLevel="0" collapsed="false">
      <c r="A58" s="5"/>
      <c r="D58" s="20" t="n">
        <v>723.888623</v>
      </c>
      <c r="E58" s="0" t="n">
        <v>714.690167</v>
      </c>
      <c r="F58" s="0" t="n">
        <v>694.30758</v>
      </c>
      <c r="G58" s="0" t="n">
        <v>663.176344</v>
      </c>
      <c r="H58" s="0" t="n">
        <v>622.57555</v>
      </c>
      <c r="I58" s="0" t="n">
        <v>573.306482</v>
      </c>
      <c r="J58" s="0" t="n">
        <v>563.442214</v>
      </c>
    </row>
    <row r="59" customFormat="false" ht="12.8" hidden="false" customHeight="false" outlineLevel="0" collapsed="false">
      <c r="D59" s="20" t="n">
        <v>723.836036</v>
      </c>
      <c r="E59" s="0" t="n">
        <v>714.641303</v>
      </c>
      <c r="F59" s="10" t="n">
        <v>694.266526</v>
      </c>
      <c r="G59" s="10" t="n">
        <v>663.146056</v>
      </c>
      <c r="H59" s="10" t="n">
        <v>622.557301</v>
      </c>
      <c r="I59" s="10" t="n">
        <v>573.301228</v>
      </c>
      <c r="J59" s="10" t="n">
        <v>563.439629</v>
      </c>
    </row>
  </sheetData>
  <mergeCells count="1">
    <mergeCell ref="A1:D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59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90" zoomScaleNormal="90" zoomScalePageLayoutView="100" workbookViewId="0">
      <selection pane="topLeft" activeCell="D72" activeCellId="0" sqref="D72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A1" s="14" t="s">
        <v>129</v>
      </c>
      <c r="B1" s="14"/>
      <c r="C1" s="14"/>
      <c r="D1" s="14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</row>
    <row r="2" customFormat="false" ht="12.8" hidden="false" customHeight="false" outlineLevel="0" collapsed="false">
      <c r="A2" s="14"/>
      <c r="B2" s="14"/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</row>
    <row r="3" customFormat="false" ht="12.8" hidden="false" customHeight="false" outlineLevel="0" collapsed="false">
      <c r="A3" s="15"/>
      <c r="B3" s="15" t="s">
        <v>104</v>
      </c>
      <c r="C3" s="15" t="s">
        <v>105</v>
      </c>
      <c r="D3" s="15" t="s">
        <v>106</v>
      </c>
      <c r="E3" s="15" t="s">
        <v>104</v>
      </c>
      <c r="F3" s="15" t="s">
        <v>105</v>
      </c>
      <c r="G3" s="15" t="s">
        <v>106</v>
      </c>
      <c r="H3" s="15" t="s">
        <v>104</v>
      </c>
      <c r="I3" s="15" t="s">
        <v>105</v>
      </c>
      <c r="J3" s="15" t="s">
        <v>106</v>
      </c>
      <c r="K3" s="15" t="s">
        <v>104</v>
      </c>
      <c r="L3" s="15" t="s">
        <v>105</v>
      </c>
      <c r="M3" s="15" t="s">
        <v>106</v>
      </c>
      <c r="N3" s="15"/>
      <c r="O3" s="15" t="s">
        <v>104</v>
      </c>
      <c r="P3" s="15" t="s">
        <v>105</v>
      </c>
      <c r="Q3" s="15" t="s">
        <v>106</v>
      </c>
    </row>
    <row r="4" customFormat="false" ht="12.8" hidden="false" customHeight="false" outlineLevel="0" collapsed="false">
      <c r="A4" s="15"/>
      <c r="B4" s="15" t="s">
        <v>107</v>
      </c>
      <c r="C4" s="15" t="s">
        <v>107</v>
      </c>
      <c r="D4" s="15" t="s">
        <v>107</v>
      </c>
      <c r="E4" s="15" t="s">
        <v>107</v>
      </c>
      <c r="F4" s="15" t="s">
        <v>107</v>
      </c>
      <c r="G4" s="15" t="s">
        <v>107</v>
      </c>
      <c r="H4" s="15" t="s">
        <v>108</v>
      </c>
      <c r="I4" s="15" t="s">
        <v>108</v>
      </c>
      <c r="J4" s="15" t="s">
        <v>108</v>
      </c>
      <c r="K4" s="15" t="s">
        <v>108</v>
      </c>
      <c r="L4" s="15" t="s">
        <v>108</v>
      </c>
      <c r="M4" s="15" t="s">
        <v>108</v>
      </c>
      <c r="N4" s="15"/>
      <c r="O4" s="15" t="s">
        <v>108</v>
      </c>
      <c r="P4" s="15" t="s">
        <v>108</v>
      </c>
      <c r="Q4" s="15" t="s">
        <v>108</v>
      </c>
    </row>
    <row r="5" customFormat="false" ht="12.8" hidden="false" customHeight="false" outlineLevel="0" collapsed="false">
      <c r="A5" s="15"/>
      <c r="B5" s="15" t="s">
        <v>109</v>
      </c>
      <c r="C5" s="15" t="s">
        <v>109</v>
      </c>
      <c r="D5" s="15" t="s">
        <v>109</v>
      </c>
      <c r="E5" s="15" t="s">
        <v>88</v>
      </c>
      <c r="F5" s="15" t="s">
        <v>88</v>
      </c>
      <c r="G5" s="15" t="s">
        <v>88</v>
      </c>
      <c r="H5" s="15" t="s">
        <v>107</v>
      </c>
      <c r="I5" s="15" t="s">
        <v>107</v>
      </c>
      <c r="J5" s="15" t="s">
        <v>107</v>
      </c>
      <c r="K5" s="15" t="s">
        <v>110</v>
      </c>
      <c r="L5" s="15" t="s">
        <v>110</v>
      </c>
      <c r="M5" s="15" t="s">
        <v>110</v>
      </c>
      <c r="N5" s="15" t="s">
        <v>111</v>
      </c>
      <c r="O5" s="15" t="s">
        <v>110</v>
      </c>
      <c r="P5" s="15" t="s">
        <v>110</v>
      </c>
      <c r="Q5" s="15" t="s">
        <v>110</v>
      </c>
    </row>
    <row r="6" customFormat="false" ht="12.8" hidden="false" customHeight="false" outlineLevel="0" collapsed="false">
      <c r="A6" s="15"/>
      <c r="B6" s="1" t="n">
        <f aca="false">B7</f>
        <v>554.232258064516</v>
      </c>
      <c r="C6" s="1" t="n">
        <f aca="false">C7</f>
        <v>554.232258064516</v>
      </c>
      <c r="D6" s="1" t="n">
        <f aca="false">D7</f>
        <v>554.232258064516</v>
      </c>
      <c r="E6" s="15" t="n">
        <f aca="false">B6*t_btu_kw/t_lbm_kg</f>
        <v>1289.14269914251</v>
      </c>
      <c r="F6" s="15" t="n">
        <f aca="false">C6*t_btu_kw/t_lbm_kg</f>
        <v>1289.14269914251</v>
      </c>
      <c r="G6" s="15" t="n">
        <f aca="false">D6*t_btu_kw/t_lbm_kg</f>
        <v>1289.14269914251</v>
      </c>
      <c r="H6" s="15" t="s">
        <v>88</v>
      </c>
      <c r="I6" s="15" t="s">
        <v>88</v>
      </c>
      <c r="J6" s="15" t="s">
        <v>88</v>
      </c>
      <c r="K6" s="15" t="s">
        <v>65</v>
      </c>
      <c r="L6" s="15" t="s">
        <v>65</v>
      </c>
      <c r="M6" s="15" t="s">
        <v>65</v>
      </c>
      <c r="N6" s="15" t="s">
        <v>16</v>
      </c>
      <c r="O6" s="15" t="s">
        <v>63</v>
      </c>
      <c r="P6" s="15" t="s">
        <v>63</v>
      </c>
      <c r="Q6" s="15" t="s">
        <v>63</v>
      </c>
    </row>
    <row r="7" customFormat="false" ht="12.8" hidden="false" customHeight="false" outlineLevel="0" collapsed="false">
      <c r="A7" s="15"/>
      <c r="B7" s="1" t="n">
        <v>554.232258064516</v>
      </c>
      <c r="C7" s="1" t="n">
        <v>554.232258064516</v>
      </c>
      <c r="D7" s="1" t="n">
        <v>554.232258064516</v>
      </c>
      <c r="E7" s="15" t="n">
        <f aca="false">B7*t_btu_kw/t_lbm_kg</f>
        <v>1289.14269914251</v>
      </c>
      <c r="F7" s="15" t="n">
        <f aca="false">C7*t_btu_kw/t_lbm_kg</f>
        <v>1289.14269914251</v>
      </c>
      <c r="G7" s="15" t="n">
        <f aca="false">D7*t_btu_kw/t_lbm_kg</f>
        <v>1289.14269914251</v>
      </c>
      <c r="H7" s="15" t="n">
        <f aca="false">E7-E$15</f>
        <v>-19.5080571905839</v>
      </c>
      <c r="I7" s="15" t="n">
        <f aca="false">F7-F$15</f>
        <v>-19.5025848922405</v>
      </c>
      <c r="J7" s="15" t="n">
        <f aca="false">G7-G$15</f>
        <v>-19.5093333333334</v>
      </c>
      <c r="K7" s="15" t="n">
        <f aca="false">H7/M_dot</f>
        <v>-65.0268573019465</v>
      </c>
      <c r="L7" s="15" t="n">
        <f aca="false">I7/M_dot</f>
        <v>-65.0086163074684</v>
      </c>
      <c r="M7" s="15" t="n">
        <f aca="false">J7/M_dot</f>
        <v>-65.0311111111114</v>
      </c>
      <c r="N7" s="15" t="n">
        <f aca="false">-dz/2</f>
        <v>-0.09145</v>
      </c>
      <c r="O7" s="15" t="n">
        <v>0</v>
      </c>
      <c r="P7" s="15" t="n">
        <v>0</v>
      </c>
      <c r="Q7" s="15" t="n">
        <v>0</v>
      </c>
    </row>
    <row r="8" customFormat="false" ht="12.8" hidden="false" customHeight="false" outlineLevel="0" collapsed="false">
      <c r="A8" s="15"/>
      <c r="B8" s="1" t="n">
        <v>555.280645551927</v>
      </c>
      <c r="C8" s="1" t="n">
        <v>555.280400867885</v>
      </c>
      <c r="D8" s="1" t="n">
        <v>555.280697259209</v>
      </c>
      <c r="E8" s="15" t="n">
        <f aca="false">B8*t_btu_kw/t_lbm_kg</f>
        <v>1291.58124553818</v>
      </c>
      <c r="F8" s="15" t="n">
        <f aca="false">C8*t_btu_kw/t_lbm_kg</f>
        <v>1291.58067640378</v>
      </c>
      <c r="G8" s="15" t="n">
        <f aca="false">D8*t_btu_kw/t_lbm_kg</f>
        <v>1291.58136580918</v>
      </c>
      <c r="H8" s="15" t="n">
        <f aca="false">E8-E$15</f>
        <v>-17.069510794912</v>
      </c>
      <c r="I8" s="15" t="n">
        <f aca="false">F8-F$15</f>
        <v>-17.0646076309738</v>
      </c>
      <c r="J8" s="15" t="n">
        <f aca="false">G8-G$15</f>
        <v>-17.070666666667</v>
      </c>
      <c r="K8" s="15" t="n">
        <f aca="false">H8*M_dot</f>
        <v>-5.12085323847362</v>
      </c>
      <c r="L8" s="15" t="n">
        <f aca="false">I8*M_dot</f>
        <v>-5.11938228929214</v>
      </c>
      <c r="M8" s="15" t="n">
        <f aca="false">J8*M_dot</f>
        <v>-5.12120000000009</v>
      </c>
      <c r="N8" s="15" t="n">
        <f aca="false">N7+dz</f>
        <v>0.09145</v>
      </c>
      <c r="O8" s="15" t="n">
        <f aca="false">(K8-K7)/dz</f>
        <v>327.534193895423</v>
      </c>
      <c r="P8" s="15" t="n">
        <f aca="false">(L8-L7)/dz</f>
        <v>327.442504199979</v>
      </c>
      <c r="Q8" s="15" t="n">
        <f aca="false">(M8-M7)/dz</f>
        <v>327.555555555556</v>
      </c>
    </row>
    <row r="9" customFormat="false" ht="12.8" hidden="false" customHeight="false" outlineLevel="0" collapsed="false">
      <c r="A9" s="15"/>
      <c r="B9" s="1" t="n">
        <v>556.329027992003</v>
      </c>
      <c r="C9" s="1" t="n">
        <v>556.328523565282</v>
      </c>
      <c r="D9" s="1" t="n">
        <v>556.329136453902</v>
      </c>
      <c r="E9" s="15" t="n">
        <f aca="false">B9*t_btu_kw/t_lbm_kg</f>
        <v>1294.01978019377</v>
      </c>
      <c r="F9" s="15" t="n">
        <f aca="false">C9*t_btu_kw/t_lbm_kg</f>
        <v>1294.01860689861</v>
      </c>
      <c r="G9" s="15" t="n">
        <f aca="false">D9*t_btu_kw/t_lbm_kg</f>
        <v>1294.02003247585</v>
      </c>
      <c r="H9" s="15" t="n">
        <f aca="false">E9-E$15</f>
        <v>-14.6309761393275</v>
      </c>
      <c r="I9" s="15" t="n">
        <f aca="false">F9-F$15</f>
        <v>-14.6266771361418</v>
      </c>
      <c r="J9" s="15" t="n">
        <f aca="false">G9-G$15</f>
        <v>-14.6320000000001</v>
      </c>
      <c r="K9" s="15" t="n">
        <f aca="false">H9*M_dot</f>
        <v>-4.38929284179824</v>
      </c>
      <c r="L9" s="15" t="n">
        <f aca="false">I9*M_dot</f>
        <v>-4.38800314084253</v>
      </c>
      <c r="M9" s="15" t="n">
        <f aca="false">J9*M_dot</f>
        <v>-4.38960000000002</v>
      </c>
      <c r="N9" s="15" t="n">
        <f aca="false">N8+dz</f>
        <v>0.27435</v>
      </c>
      <c r="O9" s="15" t="n">
        <f aca="false">(K9-K8)/dz</f>
        <v>3.99978347006767</v>
      </c>
      <c r="P9" s="15" t="n">
        <f aca="false">(L9-L8)/dz</f>
        <v>3.99879250109133</v>
      </c>
      <c r="Q9" s="15" t="n">
        <f aca="false">(M9-M8)/dz</f>
        <v>4.00000000000039</v>
      </c>
    </row>
    <row r="10" customFormat="false" ht="12.8" hidden="false" customHeight="false" outlineLevel="0" collapsed="false">
      <c r="A10" s="15"/>
      <c r="B10" s="1" t="n">
        <v>557.377405997354</v>
      </c>
      <c r="C10" s="1" t="n">
        <v>557.376628591261</v>
      </c>
      <c r="D10" s="1" t="n">
        <v>557.377575648595</v>
      </c>
      <c r="E10" s="15" t="n">
        <f aca="false">B10*t_btu_kw/t_lbm_kg</f>
        <v>1296.4583045342</v>
      </c>
      <c r="F10" s="15" t="n">
        <f aca="false">C10*t_btu_kw/t_lbm_kg</f>
        <v>1296.45649628977</v>
      </c>
      <c r="G10" s="15" t="n">
        <f aca="false">D10*t_btu_kw/t_lbm_kg</f>
        <v>1296.45869914251</v>
      </c>
      <c r="H10" s="15" t="n">
        <f aca="false">E10-E$15</f>
        <v>-12.1924517989014</v>
      </c>
      <c r="I10" s="15" t="n">
        <f aca="false">F10-F$15</f>
        <v>-12.1887877449797</v>
      </c>
      <c r="J10" s="15" t="n">
        <f aca="false">G10-G$15</f>
        <v>-12.1933333333334</v>
      </c>
      <c r="K10" s="15" t="n">
        <f aca="false">H10*M_dot</f>
        <v>-3.65773553967042</v>
      </c>
      <c r="L10" s="15" t="n">
        <f aca="false">I10*M_dot</f>
        <v>-3.6566363234939</v>
      </c>
      <c r="M10" s="15" t="n">
        <f aca="false">J10*M_dot</f>
        <v>-3.65800000000002</v>
      </c>
      <c r="N10" s="15" t="n">
        <f aca="false">N9+dz</f>
        <v>0.45725</v>
      </c>
      <c r="O10" s="15" t="n">
        <f aca="false">(K10-K9)/dz</f>
        <v>3.99976655072618</v>
      </c>
      <c r="P10" s="15" t="n">
        <f aca="false">(L10-L9)/dz</f>
        <v>3.99872508118444</v>
      </c>
      <c r="Q10" s="15" t="n">
        <f aca="false">(M10-M9)/dz</f>
        <v>4.00000000000002</v>
      </c>
    </row>
    <row r="11" customFormat="false" ht="12.8" hidden="false" customHeight="false" outlineLevel="0" collapsed="false">
      <c r="A11" s="15"/>
      <c r="B11" s="1" t="n">
        <v>558.425779356672</v>
      </c>
      <c r="C11" s="1" t="n">
        <v>558.424715329466</v>
      </c>
      <c r="D11" s="1" t="n">
        <v>558.426014843288</v>
      </c>
      <c r="E11" s="15" t="n">
        <f aca="false">B11*t_btu_kw/t_lbm_kg</f>
        <v>1298.89681806796</v>
      </c>
      <c r="F11" s="15" t="n">
        <f aca="false">C11*t_btu_kw/t_lbm_kg</f>
        <v>1298.89434314362</v>
      </c>
      <c r="G11" s="15" t="n">
        <f aca="false">D11*t_btu_kw/t_lbm_kg</f>
        <v>1298.89736580918</v>
      </c>
      <c r="H11" s="15" t="n">
        <f aca="false">E11-E$15</f>
        <v>-9.75393826513459</v>
      </c>
      <c r="I11" s="15" t="n">
        <f aca="false">F11-F$15</f>
        <v>-9.75094089112895</v>
      </c>
      <c r="J11" s="15" t="n">
        <f aca="false">G11-G$15</f>
        <v>-9.75466666666671</v>
      </c>
      <c r="K11" s="15" t="n">
        <f aca="false">H11*M_dot</f>
        <v>-2.92618147954038</v>
      </c>
      <c r="L11" s="15" t="n">
        <f aca="false">I11*M_dot</f>
        <v>-2.92528226733869</v>
      </c>
      <c r="M11" s="15" t="n">
        <f aca="false">J11*M_dot</f>
        <v>-2.92640000000001</v>
      </c>
      <c r="N11" s="15" t="n">
        <f aca="false">N10+dz</f>
        <v>0.64015</v>
      </c>
      <c r="O11" s="15" t="n">
        <f aca="false">(K11-K10)/dz</f>
        <v>3.99974882520526</v>
      </c>
      <c r="P11" s="15" t="n">
        <f aca="false">(L11-L10)/dz</f>
        <v>3.9986553097606</v>
      </c>
      <c r="Q11" s="15" t="n">
        <f aca="false">(M11-M10)/dz</f>
        <v>4.00000000000002</v>
      </c>
    </row>
    <row r="12" customFormat="false" ht="12.8" hidden="false" customHeight="false" outlineLevel="0" collapsed="false">
      <c r="A12" s="15"/>
      <c r="B12" s="1" t="n">
        <v>559.474147851442</v>
      </c>
      <c r="C12" s="1" t="n">
        <v>559.472783148711</v>
      </c>
      <c r="D12" s="1" t="n">
        <v>559.474454037981</v>
      </c>
      <c r="E12" s="15" t="n">
        <f aca="false">B12*t_btu_kw/t_lbm_kg</f>
        <v>1301.3353202868</v>
      </c>
      <c r="F12" s="15" t="n">
        <f aca="false">C12*t_btu_kw/t_lbm_kg</f>
        <v>1301.33214599203</v>
      </c>
      <c r="G12" s="15" t="n">
        <f aca="false">D12*t_btu_kw/t_lbm_kg</f>
        <v>1301.33603247585</v>
      </c>
      <c r="H12" s="15" t="n">
        <f aca="false">E12-E$15</f>
        <v>-7.31543604629337</v>
      </c>
      <c r="I12" s="15" t="n">
        <f aca="false">F12-F$15</f>
        <v>-7.31313804272736</v>
      </c>
      <c r="J12" s="15" t="n">
        <f aca="false">G12-G$15</f>
        <v>-7.31600000000026</v>
      </c>
      <c r="K12" s="15" t="n">
        <f aca="false">H12*M_dot</f>
        <v>-2.19463081388801</v>
      </c>
      <c r="L12" s="15" t="n">
        <f aca="false">I12*M_dot</f>
        <v>-2.19394141281821</v>
      </c>
      <c r="M12" s="15" t="n">
        <f aca="false">J12*M_dot</f>
        <v>-2.19480000000008</v>
      </c>
      <c r="N12" s="15" t="n">
        <f aca="false">N11+dz</f>
        <v>0.82305</v>
      </c>
      <c r="O12" s="15" t="n">
        <f aca="false">(K12-K11)/dz</f>
        <v>3.99973026600528</v>
      </c>
      <c r="P12" s="15" t="n">
        <f aca="false">(L12-L11)/dz</f>
        <v>3.99858313023771</v>
      </c>
      <c r="Q12" s="15" t="n">
        <f aca="false">(M12-M11)/dz</f>
        <v>3.99999999999964</v>
      </c>
    </row>
    <row r="13" customFormat="false" ht="12.8" hidden="false" customHeight="false" outlineLevel="0" collapsed="false">
      <c r="A13" s="15"/>
      <c r="B13" s="1" t="n">
        <v>560.522511533351</v>
      </c>
      <c r="C13" s="1" t="n">
        <v>560.52083231773</v>
      </c>
      <c r="D13" s="1" t="n">
        <v>560.522893232674</v>
      </c>
      <c r="E13" s="15" t="n">
        <f aca="false">B13*t_btu_kw/t_lbm_kg</f>
        <v>1303.77381131094</v>
      </c>
      <c r="F13" s="15" t="n">
        <f aca="false">C13*t_btu_kw/t_lbm_kg</f>
        <v>1303.76990546005</v>
      </c>
      <c r="G13" s="15" t="n">
        <f aca="false">D13*t_btu_kw/t_lbm_kg</f>
        <v>1303.77469914251</v>
      </c>
      <c r="H13" s="15" t="n">
        <f aca="false">E13-E$15</f>
        <v>-4.87694502215322</v>
      </c>
      <c r="I13" s="15" t="n">
        <f aca="false">F13-F$15</f>
        <v>-4.87537857469943</v>
      </c>
      <c r="J13" s="15" t="n">
        <f aca="false">G13-G$15</f>
        <v>-4.87733333333335</v>
      </c>
      <c r="K13" s="15" t="n">
        <f aca="false">H13*M_dot</f>
        <v>-1.46308350664597</v>
      </c>
      <c r="L13" s="15" t="n">
        <f aca="false">I13*M_dot</f>
        <v>-1.46261357240983</v>
      </c>
      <c r="M13" s="15" t="n">
        <f aca="false">J13*M_dot</f>
        <v>-1.46320000000001</v>
      </c>
      <c r="N13" s="15" t="n">
        <f aca="false">N12+dz</f>
        <v>1.00595</v>
      </c>
      <c r="O13" s="15" t="n">
        <f aca="false">(K13-K12)/dz</f>
        <v>3.99971190400243</v>
      </c>
      <c r="P13" s="15" t="n">
        <f aca="false">(L13-L12)/dz</f>
        <v>3.99851197598896</v>
      </c>
      <c r="Q13" s="15" t="n">
        <f aca="false">(M13-M12)/dz</f>
        <v>4.00000000000039</v>
      </c>
    </row>
    <row r="14" customFormat="false" ht="12.8" hidden="false" customHeight="false" outlineLevel="0" collapsed="false">
      <c r="A14" s="15"/>
      <c r="B14" s="1" t="n">
        <v>561.570869992048</v>
      </c>
      <c r="C14" s="1" t="n">
        <v>561.568861613641</v>
      </c>
      <c r="D14" s="1" t="n">
        <v>561.571332427367</v>
      </c>
      <c r="E14" s="15" t="n">
        <f aca="false">B14*t_btu_kw/t_lbm_kg</f>
        <v>1306.21229018591</v>
      </c>
      <c r="F14" s="15" t="n">
        <f aca="false">C14*t_btu_kw/t_lbm_kg</f>
        <v>1306.20761870329</v>
      </c>
      <c r="G14" s="15" t="n">
        <f aca="false">D14*t_btu_kw/t_lbm_kg</f>
        <v>1306.21336580918</v>
      </c>
      <c r="H14" s="15" t="n">
        <f aca="false">E14-E$15</f>
        <v>-2.43846614719018</v>
      </c>
      <c r="I14" s="15" t="n">
        <f aca="false">F14-F$15</f>
        <v>-2.43766533146572</v>
      </c>
      <c r="J14" s="15" t="n">
        <f aca="false">G14-G$15</f>
        <v>-2.43866666666668</v>
      </c>
      <c r="K14" s="15" t="n">
        <f aca="false">H14*M_dot</f>
        <v>-0.731539844157055</v>
      </c>
      <c r="L14" s="15" t="n">
        <f aca="false">I14*M_dot</f>
        <v>-0.731299599439717</v>
      </c>
      <c r="M14" s="15" t="n">
        <f aca="false">J14*M_dot</f>
        <v>-0.731600000000003</v>
      </c>
      <c r="N14" s="15" t="n">
        <f aca="false">N13+dz</f>
        <v>1.18885</v>
      </c>
      <c r="O14" s="15" t="n">
        <f aca="false">(K14-K13)/dz</f>
        <v>3.99969197642926</v>
      </c>
      <c r="P14" s="15" t="n">
        <f aca="false">(L14-L13)/dz</f>
        <v>3.99843615620618</v>
      </c>
      <c r="Q14" s="15" t="n">
        <f aca="false">(M14-M13)/dz</f>
        <v>4.00000000000002</v>
      </c>
    </row>
    <row r="15" customFormat="false" ht="12.8" hidden="false" customHeight="false" outlineLevel="0" collapsed="false">
      <c r="A15" s="15"/>
      <c r="B15" s="1" t="n">
        <v>562.619222978781</v>
      </c>
      <c r="C15" s="1" t="n">
        <v>562.616870311175</v>
      </c>
      <c r="D15" s="1" t="n">
        <v>562.61977162206</v>
      </c>
      <c r="E15" s="15" t="n">
        <f aca="false">B15*t_btu_kw/t_lbm_kg</f>
        <v>1308.6507563331</v>
      </c>
      <c r="F15" s="15" t="n">
        <f aca="false">C15*t_btu_kw/t_lbm_kg</f>
        <v>1308.64528403475</v>
      </c>
      <c r="G15" s="15" t="n">
        <f aca="false">D15*t_btu_kw/t_lbm_kg</f>
        <v>1308.65203247585</v>
      </c>
      <c r="H15" s="15" t="n">
        <f aca="false">E15-E$15</f>
        <v>0</v>
      </c>
      <c r="I15" s="15" t="n">
        <f aca="false">F15-F$15</f>
        <v>0</v>
      </c>
      <c r="J15" s="15" t="n">
        <f aca="false">G15-G$15</f>
        <v>0</v>
      </c>
      <c r="K15" s="15" t="n">
        <f aca="false">H15*M_dot</f>
        <v>0</v>
      </c>
      <c r="L15" s="15" t="n">
        <f aca="false">I15*M_dot</f>
        <v>0</v>
      </c>
      <c r="M15" s="15" t="n">
        <f aca="false">J15*M_dot</f>
        <v>0</v>
      </c>
      <c r="N15" s="15" t="n">
        <f aca="false">N14+dz</f>
        <v>1.37175</v>
      </c>
      <c r="O15" s="15" t="n">
        <f aca="false">(K15-K14)/dz</f>
        <v>3.99967109981988</v>
      </c>
      <c r="P15" s="15" t="n">
        <f aca="false">(L15-L14)/dz</f>
        <v>3.99835756938063</v>
      </c>
      <c r="Q15" s="15" t="n">
        <f aca="false">(M15-M14)/dz</f>
        <v>4.00000000000002</v>
      </c>
    </row>
    <row r="16" customFormat="false" ht="12.8" hidden="false" customHeight="false" outlineLevel="0" collapsed="false">
      <c r="A16" s="15"/>
      <c r="B16" s="1" t="n">
        <v>563.667570247233</v>
      </c>
      <c r="C16" s="1" t="n">
        <v>563.664857726469</v>
      </c>
      <c r="D16" s="1" t="n">
        <v>563.668210816753</v>
      </c>
      <c r="E16" s="15" t="n">
        <f aca="false">B16*t_btu_kw/t_lbm_kg</f>
        <v>1311.08920917958</v>
      </c>
      <c r="F16" s="15" t="n">
        <f aca="false">C16*t_btu_kw/t_lbm_kg</f>
        <v>1311.08289986379</v>
      </c>
      <c r="G16" s="15" t="n">
        <f aca="false">D16*t_btu_kw/t_lbm_kg</f>
        <v>1311.09069914251</v>
      </c>
      <c r="H16" s="15" t="n">
        <f aca="false">E16-E$15</f>
        <v>2.43845284648455</v>
      </c>
      <c r="I16" s="15" t="n">
        <f aca="false">F16-F$15</f>
        <v>2.43761582903403</v>
      </c>
      <c r="J16" s="15" t="n">
        <f aca="false">G16-G$15</f>
        <v>2.43866666666645</v>
      </c>
      <c r="K16" s="15" t="n">
        <f aca="false">H16*M_dot</f>
        <v>0.731535853945366</v>
      </c>
      <c r="L16" s="15" t="n">
        <f aca="false">I16*M_dot</f>
        <v>0.731284748710209</v>
      </c>
      <c r="M16" s="15" t="n">
        <f aca="false">J16*M_dot</f>
        <v>0.731599999999935</v>
      </c>
      <c r="N16" s="15" t="n">
        <f aca="false">N15+dz</f>
        <v>1.55465</v>
      </c>
      <c r="O16" s="15" t="n">
        <f aca="false">(K16-K15)/dz</f>
        <v>3.99964928346291</v>
      </c>
      <c r="P16" s="15" t="n">
        <f aca="false">(L16-L15)/dz</f>
        <v>3.99827637348392</v>
      </c>
      <c r="Q16" s="15" t="n">
        <f aca="false">(M16-M15)/dz</f>
        <v>3.99999999999964</v>
      </c>
    </row>
    <row r="17" customFormat="false" ht="12.8" hidden="false" customHeight="false" outlineLevel="0" collapsed="false">
      <c r="A17" s="15"/>
      <c r="B17" s="1" t="n">
        <v>564.715911545095</v>
      </c>
      <c r="C17" s="1" t="n">
        <v>564.712823148553</v>
      </c>
      <c r="D17" s="1" t="n">
        <v>564.716650011446</v>
      </c>
      <c r="E17" s="15" t="n">
        <f aca="false">B17*t_btu_kw/t_lbm_kg</f>
        <v>1313.52764813849</v>
      </c>
      <c r="F17" s="15" t="n">
        <f aca="false">C17*t_btu_kw/t_lbm_kg</f>
        <v>1313.52046453668</v>
      </c>
      <c r="G17" s="15" t="n">
        <f aca="false">D17*t_btu_kw/t_lbm_kg</f>
        <v>1313.52936580918</v>
      </c>
      <c r="H17" s="15" t="n">
        <f aca="false">E17-E$15</f>
        <v>4.87689180539292</v>
      </c>
      <c r="I17" s="15" t="n">
        <f aca="false">F17-F$15</f>
        <v>4.87518050192284</v>
      </c>
      <c r="J17" s="15" t="n">
        <f aca="false">G17-G$15</f>
        <v>4.87733333333313</v>
      </c>
      <c r="K17" s="15" t="n">
        <f aca="false">H17*M_dot</f>
        <v>1.46306754161787</v>
      </c>
      <c r="L17" s="15" t="n">
        <f aca="false">I17*M_dot</f>
        <v>1.46255415057685</v>
      </c>
      <c r="M17" s="15" t="n">
        <f aca="false">J17*M_dot</f>
        <v>1.46319999999994</v>
      </c>
      <c r="N17" s="15" t="n">
        <f aca="false">N16+dz</f>
        <v>1.73755</v>
      </c>
      <c r="O17" s="15" t="n">
        <f aca="false">(K17-K16)/dz</f>
        <v>3.99962650449704</v>
      </c>
      <c r="P17" s="15" t="n">
        <f aca="false">(L17-L16)/dz</f>
        <v>3.9981924650992</v>
      </c>
      <c r="Q17" s="15" t="n">
        <f aca="false">(M17-M16)/dz</f>
        <v>4.00000000000002</v>
      </c>
    </row>
    <row r="18" customFormat="false" ht="12.8" hidden="false" customHeight="false" outlineLevel="0" collapsed="false">
      <c r="A18" s="15"/>
      <c r="B18" s="1" t="n">
        <v>565.764246612647</v>
      </c>
      <c r="C18" s="1" t="n">
        <v>565.760765867659</v>
      </c>
      <c r="D18" s="1" t="n">
        <v>565.765089206139</v>
      </c>
      <c r="E18" s="15" t="n">
        <f aca="false">B18*t_btu_kw/t_lbm_kg</f>
        <v>1315.96607260571</v>
      </c>
      <c r="F18" s="15" t="n">
        <f aca="false">C18*t_btu_kw/t_lbm_kg</f>
        <v>1315.9579764025</v>
      </c>
      <c r="G18" s="15" t="n">
        <f aca="false">D18*t_btu_kw/t_lbm_kg</f>
        <v>1315.96803247585</v>
      </c>
      <c r="H18" s="15" t="n">
        <f aca="false">E18-E$15</f>
        <v>7.31531627261757</v>
      </c>
      <c r="I18" s="15" t="n">
        <f aca="false">F18-F$15</f>
        <v>7.31269236774733</v>
      </c>
      <c r="J18" s="15" t="n">
        <f aca="false">G18-G$15</f>
        <v>7.31600000000003</v>
      </c>
      <c r="K18" s="15" t="n">
        <f aca="false">H18*M_dot</f>
        <v>2.19459488178527</v>
      </c>
      <c r="L18" s="15" t="n">
        <f aca="false">I18*M_dot</f>
        <v>2.1938077103242</v>
      </c>
      <c r="M18" s="15" t="n">
        <f aca="false">J18*M_dot</f>
        <v>2.19480000000001</v>
      </c>
      <c r="N18" s="15" t="n">
        <f aca="false">N17+dz</f>
        <v>1.92045</v>
      </c>
      <c r="O18" s="15" t="n">
        <f aca="false">(K18-K17)/dz</f>
        <v>3.99960273464951</v>
      </c>
      <c r="P18" s="15" t="n">
        <f aca="false">(L18-L17)/dz</f>
        <v>3.99810584880999</v>
      </c>
      <c r="Q18" s="15" t="n">
        <f aca="false">(M18-M17)/dz</f>
        <v>4.00000000000039</v>
      </c>
    </row>
    <row r="19" customFormat="false" ht="12.8" hidden="false" customHeight="false" outlineLevel="0" collapsed="false">
      <c r="A19" s="15"/>
      <c r="B19" s="1" t="n">
        <v>566.812575182201</v>
      </c>
      <c r="C19" s="1" t="n">
        <v>566.808685158012</v>
      </c>
      <c r="D19" s="1" t="n">
        <v>566.813528400832</v>
      </c>
      <c r="E19" s="15" t="n">
        <f aca="false">B19*t_btu_kw/t_lbm_kg</f>
        <v>1318.40448195861</v>
      </c>
      <c r="F19" s="15" t="n">
        <f aca="false">C19*t_btu_kw/t_lbm_kg</f>
        <v>1318.39543377311</v>
      </c>
      <c r="G19" s="15" t="n">
        <f aca="false">D19*t_btu_kw/t_lbm_kg</f>
        <v>1318.40669914251</v>
      </c>
      <c r="H19" s="15" t="n">
        <f aca="false">E19-E$15</f>
        <v>9.75372562551729</v>
      </c>
      <c r="I19" s="15" t="n">
        <f aca="false">F19-F$15</f>
        <v>9.75014973835755</v>
      </c>
      <c r="J19" s="15" t="n">
        <f aca="false">G19-G$15</f>
        <v>9.75466666666648</v>
      </c>
      <c r="K19" s="15" t="n">
        <f aca="false">H19*M_dot</f>
        <v>2.92611768765519</v>
      </c>
      <c r="L19" s="15" t="n">
        <f aca="false">I19*M_dot</f>
        <v>2.92504492150727</v>
      </c>
      <c r="M19" s="15" t="n">
        <f aca="false">J19*M_dot</f>
        <v>2.92639999999994</v>
      </c>
      <c r="N19" s="15" t="n">
        <f aca="false">N18+dz</f>
        <v>2.10335</v>
      </c>
      <c r="O19" s="15" t="n">
        <f aca="false">(K19-K18)/dz</f>
        <v>3.9995779435206</v>
      </c>
      <c r="P19" s="15" t="n">
        <f aca="false">(L19-L18)/dz</f>
        <v>3.99801646354874</v>
      </c>
      <c r="Q19" s="15" t="n">
        <f aca="false">(M19-M18)/dz</f>
        <v>3.99999999999964</v>
      </c>
    </row>
    <row r="20" customFormat="false" ht="12.8" hidden="false" customHeight="false" outlineLevel="0" collapsed="false">
      <c r="A20" s="15"/>
      <c r="B20" s="1" t="n">
        <v>567.86089697778</v>
      </c>
      <c r="C20" s="1" t="n">
        <v>567.856580277598</v>
      </c>
      <c r="D20" s="1" t="n">
        <v>567.861967595526</v>
      </c>
      <c r="E20" s="15" t="n">
        <f aca="false">B20*t_btu_kw/t_lbm_kg</f>
        <v>1320.84287555527</v>
      </c>
      <c r="F20" s="15" t="n">
        <f aca="false">C20*t_btu_kw/t_lbm_kg</f>
        <v>1320.83283492258</v>
      </c>
      <c r="G20" s="15" t="n">
        <f aca="false">D20*t_btu_kw/t_lbm_kg</f>
        <v>1320.84536580918</v>
      </c>
      <c r="H20" s="15" t="n">
        <f aca="false">E20-E$15</f>
        <v>12.1921192221696</v>
      </c>
      <c r="I20" s="15" t="n">
        <f aca="false">F20-F$15</f>
        <v>12.1875508878302</v>
      </c>
      <c r="J20" s="15" t="n">
        <f aca="false">G20-G$15</f>
        <v>12.1933333333357</v>
      </c>
      <c r="K20" s="15" t="n">
        <f aca="false">H20*M_dot</f>
        <v>3.65763576665088</v>
      </c>
      <c r="L20" s="15" t="n">
        <f aca="false">I20*M_dot</f>
        <v>3.65626526634906</v>
      </c>
      <c r="M20" s="15" t="n">
        <f aca="false">J20*M_dot</f>
        <v>3.6580000000007</v>
      </c>
      <c r="N20" s="15" t="n">
        <f aca="false">N19+dz</f>
        <v>2.28625</v>
      </c>
      <c r="O20" s="15" t="n">
        <f aca="false">(K20-K19)/dz</f>
        <v>3.99955209948437</v>
      </c>
      <c r="P20" s="15" t="n">
        <f aca="false">(L20-L19)/dz</f>
        <v>3.99792424735807</v>
      </c>
      <c r="Q20" s="15" t="n">
        <f aca="false">(M20-M19)/dz</f>
        <v>4.00000000000412</v>
      </c>
    </row>
    <row r="21" customFormat="false" ht="12.8" hidden="false" customHeight="false" outlineLevel="0" collapsed="false">
      <c r="A21" s="15"/>
      <c r="B21" s="1" t="n">
        <v>568.909211714852</v>
      </c>
      <c r="C21" s="1" t="n">
        <v>568.90445046794</v>
      </c>
      <c r="D21" s="1" t="n">
        <v>568.910406790218</v>
      </c>
      <c r="E21" s="15" t="n">
        <f aca="false">B21*t_btu_kw/t_lbm_kg</f>
        <v>1323.28125273385</v>
      </c>
      <c r="F21" s="15" t="n">
        <f aca="false">C21*t_btu_kw/t_lbm_kg</f>
        <v>1323.2701780867</v>
      </c>
      <c r="G21" s="15" t="n">
        <f aca="false">D21*t_btu_kw/t_lbm_kg</f>
        <v>1323.28403247585</v>
      </c>
      <c r="H21" s="15" t="n">
        <f aca="false">E21-E$15</f>
        <v>14.6304964007538</v>
      </c>
      <c r="I21" s="15" t="n">
        <f aca="false">F21-F$15</f>
        <v>14.6248940519506</v>
      </c>
      <c r="J21" s="15" t="n">
        <f aca="false">G21-G$15</f>
        <v>14.6319999999998</v>
      </c>
      <c r="K21" s="15" t="n">
        <f aca="false">H21*M_dot</f>
        <v>4.38914892022615</v>
      </c>
      <c r="L21" s="15" t="n">
        <f aca="false">I21*M_dot</f>
        <v>4.38746821558518</v>
      </c>
      <c r="M21" s="15" t="n">
        <f aca="false">J21*M_dot</f>
        <v>4.38959999999995</v>
      </c>
      <c r="N21" s="15" t="n">
        <f aca="false">N20+dz</f>
        <v>2.46915</v>
      </c>
      <c r="O21" s="15" t="n">
        <f aca="false">(K21-K20)/dz</f>
        <v>3.99952516990306</v>
      </c>
      <c r="P21" s="15" t="n">
        <f aca="false">(L21-L20)/dz</f>
        <v>3.99782913743098</v>
      </c>
      <c r="Q21" s="15" t="n">
        <f aca="false">(M21-M20)/dz</f>
        <v>3.99999999999591</v>
      </c>
    </row>
    <row r="22" customFormat="false" ht="12.8" hidden="false" customHeight="false" outlineLevel="0" collapsed="false">
      <c r="A22" s="15"/>
      <c r="B22" s="1" t="n">
        <v>569.957519100104</v>
      </c>
      <c r="C22" s="1" t="n">
        <v>569.952294953867</v>
      </c>
      <c r="D22" s="1" t="n">
        <v>569.958845984911</v>
      </c>
      <c r="E22" s="15" t="n">
        <f aca="false">B22*t_btu_kw/t_lbm_kg</f>
        <v>1325.71961281212</v>
      </c>
      <c r="F22" s="15" t="n">
        <f aca="false">C22*t_btu_kw/t_lbm_kg</f>
        <v>1325.70746146243</v>
      </c>
      <c r="G22" s="15" t="n">
        <f aca="false">D22*t_btu_kw/t_lbm_kg</f>
        <v>1325.72269914251</v>
      </c>
      <c r="H22" s="15" t="n">
        <f aca="false">E22-E$15</f>
        <v>17.0688564790255</v>
      </c>
      <c r="I22" s="15" t="n">
        <f aca="false">F22-F$15</f>
        <v>17.0621774276726</v>
      </c>
      <c r="J22" s="15" t="n">
        <f aca="false">G22-G$15</f>
        <v>17.0706666666667</v>
      </c>
      <c r="K22" s="15" t="n">
        <f aca="false">H22*M_dot</f>
        <v>5.12065694370765</v>
      </c>
      <c r="L22" s="15" t="n">
        <f aca="false">I22*M_dot</f>
        <v>5.11865322830179</v>
      </c>
      <c r="M22" s="15" t="n">
        <f aca="false">J22*M_dot</f>
        <v>5.12120000000002</v>
      </c>
      <c r="N22" s="15" t="n">
        <f aca="false">N21+dz</f>
        <v>2.65205</v>
      </c>
      <c r="O22" s="15" t="n">
        <f aca="false">(K22-K21)/dz</f>
        <v>3.99949712127666</v>
      </c>
      <c r="P22" s="15" t="n">
        <f aca="false">(L22-L21)/dz</f>
        <v>3.99773107007439</v>
      </c>
      <c r="Q22" s="15" t="n">
        <f aca="false">(M22-M21)/dz</f>
        <v>4.00000000000039</v>
      </c>
    </row>
    <row r="23" customFormat="false" ht="12.8" hidden="false" customHeight="false" outlineLevel="0" collapsed="false">
      <c r="A23" s="15"/>
      <c r="B23" s="1" t="n">
        <v>571.005819733738</v>
      </c>
      <c r="C23" s="1" t="n">
        <v>571.000115685548</v>
      </c>
      <c r="D23" s="1" t="n">
        <v>571.007285179605</v>
      </c>
      <c r="E23" s="15" t="n">
        <f aca="false">B23*t_btu_kw/t_lbm_kg</f>
        <v>1328.15795718615</v>
      </c>
      <c r="F23" s="15" t="n">
        <f aca="false">C23*t_btu_kw/t_lbm_kg</f>
        <v>1328.14468958584</v>
      </c>
      <c r="G23" s="15" t="n">
        <f aca="false">D23*t_btu_kw/t_lbm_kg</f>
        <v>1328.16136580918</v>
      </c>
      <c r="H23" s="15" t="n">
        <f aca="false">E23-E$15</f>
        <v>19.5072008530522</v>
      </c>
      <c r="I23" s="15" t="n">
        <f aca="false">F23-F$15</f>
        <v>19.4994055510842</v>
      </c>
      <c r="J23" s="15" t="n">
        <f aca="false">G23-G$15</f>
        <v>19.5093333333355</v>
      </c>
      <c r="K23" s="15" t="n">
        <f aca="false">H23*M_dot</f>
        <v>5.85216025591565</v>
      </c>
      <c r="L23" s="15" t="n">
        <f aca="false">I23*M_dot</f>
        <v>5.84982166532527</v>
      </c>
      <c r="M23" s="15" t="n">
        <f aca="false">J23*M_dot</f>
        <v>5.85280000000064</v>
      </c>
      <c r="N23" s="15" t="n">
        <f aca="false">N22+dz</f>
        <v>2.83495</v>
      </c>
      <c r="O23" s="15" t="n">
        <f aca="false">(K23-K22)/dz</f>
        <v>3.99947136253689</v>
      </c>
      <c r="P23" s="15" t="n">
        <f aca="false">(L23-L22)/dz</f>
        <v>3.99764044299335</v>
      </c>
      <c r="Q23" s="15" t="n">
        <f aca="false">(M23-M22)/dz</f>
        <v>4.00000000000338</v>
      </c>
    </row>
    <row r="24" customFormat="false" ht="12.8" hidden="false" customHeight="false" outlineLevel="0" collapsed="false">
      <c r="A24" s="15"/>
      <c r="B24" s="1" t="n">
        <v>572.054112582758</v>
      </c>
      <c r="C24" s="1" t="n">
        <v>572.047909696001</v>
      </c>
      <c r="D24" s="1" t="n">
        <v>572.055724374297</v>
      </c>
      <c r="E24" s="15" t="n">
        <f aca="false">B24*t_btu_kw/t_lbm_kg</f>
        <v>1330.59628345318</v>
      </c>
      <c r="F24" s="15" t="n">
        <f aca="false">C24*t_btu_kw/t_lbm_kg</f>
        <v>1330.58185555575</v>
      </c>
      <c r="G24" s="15" t="n">
        <f aca="false">D24*t_btu_kw/t_lbm_kg</f>
        <v>1330.60003247585</v>
      </c>
      <c r="H24" s="15" t="n">
        <f aca="false">E24-E$15</f>
        <v>21.9455271200882</v>
      </c>
      <c r="I24" s="15" t="n">
        <f aca="false">F24-F$15</f>
        <v>21.9365715209935</v>
      </c>
      <c r="J24" s="15" t="n">
        <f aca="false">G24-G$15</f>
        <v>21.9480000000001</v>
      </c>
      <c r="K24" s="15" t="n">
        <f aca="false">H24*M_dot</f>
        <v>6.58365813602645</v>
      </c>
      <c r="L24" s="15" t="n">
        <f aca="false">I24*M_dot</f>
        <v>6.58097145629806</v>
      </c>
      <c r="M24" s="15" t="n">
        <f aca="false">J24*M_dot</f>
        <v>6.58440000000003</v>
      </c>
      <c r="N24" s="15" t="n">
        <f aca="false">N23+dz</f>
        <v>3.01785</v>
      </c>
      <c r="O24" s="15" t="n">
        <f aca="false">(K24-K23)/dz</f>
        <v>3.99944166271627</v>
      </c>
      <c r="P24" s="15" t="n">
        <f aca="false">(L24-L23)/dz</f>
        <v>3.99753849629738</v>
      </c>
      <c r="Q24" s="15" t="n">
        <f aca="false">(M24-M23)/dz</f>
        <v>3.99999999999666</v>
      </c>
    </row>
    <row r="25" customFormat="false" ht="12.8" hidden="false" customHeight="false" outlineLevel="0" collapsed="false">
      <c r="A25" s="15"/>
      <c r="B25" s="1" t="n">
        <v>573.102397310069</v>
      </c>
      <c r="C25" s="1" t="n">
        <v>573.095676084527</v>
      </c>
      <c r="D25" s="1" t="n">
        <v>573.104163568991</v>
      </c>
      <c r="E25" s="15" t="n">
        <f aca="false">B25*t_btu_kw/t_lbm_kg</f>
        <v>1333.03459082915</v>
      </c>
      <c r="F25" s="15" t="n">
        <f aca="false">C25*t_btu_kw/t_lbm_kg</f>
        <v>1333.01895727713</v>
      </c>
      <c r="G25" s="15" t="n">
        <f aca="false">D25*t_btu_kw/t_lbm_kg</f>
        <v>1333.03869914252</v>
      </c>
      <c r="H25" s="15" t="n">
        <f aca="false">E25-E$15</f>
        <v>24.3838344960518</v>
      </c>
      <c r="I25" s="15" t="n">
        <f aca="false">F25-F$15</f>
        <v>24.3736732423768</v>
      </c>
      <c r="J25" s="15" t="n">
        <f aca="false">G25-G$15</f>
        <v>24.386666666669</v>
      </c>
      <c r="K25" s="15" t="n">
        <f aca="false">H25*M_dot</f>
        <v>7.31515034881554</v>
      </c>
      <c r="L25" s="15" t="n">
        <f aca="false">I25*M_dot</f>
        <v>7.31210197271303</v>
      </c>
      <c r="M25" s="15" t="n">
        <f aca="false">J25*M_dot</f>
        <v>7.31600000000071</v>
      </c>
      <c r="N25" s="15" t="n">
        <f aca="false">N24+dz</f>
        <v>3.20075</v>
      </c>
      <c r="O25" s="15" t="n">
        <f aca="false">(K25-K24)/dz</f>
        <v>3.99941067681296</v>
      </c>
      <c r="P25" s="15" t="n">
        <f aca="false">(L25-L24)/dz</f>
        <v>3.99743311325842</v>
      </c>
      <c r="Q25" s="15" t="n">
        <f aca="false">(M25-M24)/dz</f>
        <v>4.00000000000375</v>
      </c>
    </row>
    <row r="26" customFormat="false" ht="12.8" hidden="false" customHeight="false" outlineLevel="0" collapsed="false">
      <c r="A26" s="15"/>
      <c r="B26" s="1" t="n">
        <v>574.150673584876</v>
      </c>
      <c r="C26" s="1" t="n">
        <v>574.143413965694</v>
      </c>
      <c r="D26" s="1" t="n">
        <v>574.152602763684</v>
      </c>
      <c r="E26" s="15" t="n">
        <f aca="false">B26*t_btu_kw/t_lbm_kg</f>
        <v>1335.47287854461</v>
      </c>
      <c r="F26" s="15" t="n">
        <f aca="false">C26*t_btu_kw/t_lbm_kg</f>
        <v>1335.45599269048</v>
      </c>
      <c r="G26" s="15" t="n">
        <f aca="false">D26*t_btu_kw/t_lbm_kg</f>
        <v>1335.47736580918</v>
      </c>
      <c r="H26" s="15" t="n">
        <f aca="false">E26-E$15</f>
        <v>26.8221222115144</v>
      </c>
      <c r="I26" s="15" t="n">
        <f aca="false">F26-F$15</f>
        <v>26.8107086557218</v>
      </c>
      <c r="J26" s="15" t="n">
        <f aca="false">G26-G$15</f>
        <v>26.8253333333355</v>
      </c>
      <c r="K26" s="15" t="n">
        <f aca="false">H26*M_dot</f>
        <v>8.04663666345432</v>
      </c>
      <c r="L26" s="15" t="n">
        <f aca="false">I26*M_dot</f>
        <v>8.04321259671654</v>
      </c>
      <c r="M26" s="15" t="n">
        <f aca="false">J26*M_dot</f>
        <v>8.04760000000065</v>
      </c>
      <c r="N26" s="15" t="n">
        <f aca="false">N25+dz</f>
        <v>3.38365</v>
      </c>
      <c r="O26" s="15" t="n">
        <f aca="false">(K26-K25)/dz</f>
        <v>3.99937842886155</v>
      </c>
      <c r="P26" s="15" t="n">
        <f aca="false">(L26-L25)/dz</f>
        <v>3.99732435212416</v>
      </c>
      <c r="Q26" s="15" t="n">
        <f aca="false">(M26-M25)/dz</f>
        <v>3.99999999999965</v>
      </c>
    </row>
    <row r="27" customFormat="false" ht="12.8" hidden="false" customHeight="false" outlineLevel="0" collapsed="false">
      <c r="A27" s="15"/>
      <c r="B27" s="1" t="n">
        <v>575.198941071204</v>
      </c>
      <c r="C27" s="1" t="n">
        <v>575.191122497047</v>
      </c>
      <c r="D27" s="1" t="n">
        <v>575.201041958377</v>
      </c>
      <c r="E27" s="15" t="n">
        <f aca="false">B27*t_btu_kw/t_lbm_kg</f>
        <v>1337.9111458181</v>
      </c>
      <c r="F27" s="15" t="n">
        <f aca="false">C27*t_btu_kw/t_lbm_kg</f>
        <v>1337.89295983623</v>
      </c>
      <c r="G27" s="15" t="n">
        <f aca="false">D27*t_btu_kw/t_lbm_kg</f>
        <v>1337.91603247585</v>
      </c>
      <c r="H27" s="15" t="n">
        <f aca="false">E27-E$15</f>
        <v>29.2603894849988</v>
      </c>
      <c r="I27" s="15" t="n">
        <f aca="false">F27-F$15</f>
        <v>29.2476758014807</v>
      </c>
      <c r="J27" s="15" t="n">
        <f aca="false">G27-G$15</f>
        <v>29.2640000000024</v>
      </c>
      <c r="K27" s="15" t="n">
        <f aca="false">H27*M_dot</f>
        <v>8.77811684549963</v>
      </c>
      <c r="L27" s="15" t="n">
        <f aca="false">I27*M_dot</f>
        <v>8.77430274044421</v>
      </c>
      <c r="M27" s="15" t="n">
        <f aca="false">J27*M_dot</f>
        <v>8.77920000000072</v>
      </c>
      <c r="N27" s="15" t="n">
        <f aca="false">N26+dz</f>
        <v>3.56655</v>
      </c>
      <c r="O27" s="15" t="n">
        <f aca="false">(K27-K26)/dz</f>
        <v>3.99934489909957</v>
      </c>
      <c r="P27" s="15" t="n">
        <f aca="false">(L27-L26)/dz</f>
        <v>3.99721237685987</v>
      </c>
      <c r="Q27" s="15" t="n">
        <f aca="false">(M27-M26)/dz</f>
        <v>4.00000000000039</v>
      </c>
    </row>
    <row r="28" customFormat="false" ht="12.8" hidden="false" customHeight="false" outlineLevel="0" collapsed="false">
      <c r="A28" s="15"/>
      <c r="B28" s="1" t="n">
        <v>575.198941071204</v>
      </c>
      <c r="C28" s="1" t="n">
        <v>575.191122497047</v>
      </c>
      <c r="D28" s="1" t="n">
        <v>575.201041958377</v>
      </c>
      <c r="E28" s="15" t="n">
        <f aca="false">B28*t_btu_kw/t_lbm_kg</f>
        <v>1337.9111458181</v>
      </c>
      <c r="F28" s="15" t="n">
        <f aca="false">C28*t_btu_kw/t_lbm_kg</f>
        <v>1337.89295983623</v>
      </c>
      <c r="G28" s="15" t="n">
        <f aca="false">D28*t_btu_kw/t_lbm_kg</f>
        <v>1337.91603247585</v>
      </c>
      <c r="H28" s="15" t="n">
        <f aca="false">E28-E$15</f>
        <v>29.2603894849988</v>
      </c>
      <c r="I28" s="15" t="n">
        <f aca="false">F28-F$15</f>
        <v>29.2476758014807</v>
      </c>
      <c r="J28" s="15" t="n">
        <f aca="false">G28-G$15</f>
        <v>29.2640000000024</v>
      </c>
      <c r="K28" s="15" t="n">
        <f aca="false">H28*M_dot</f>
        <v>8.77811684549963</v>
      </c>
      <c r="L28" s="15" t="n">
        <f aca="false">I28*M_dot</f>
        <v>8.77430274044421</v>
      </c>
      <c r="M28" s="15" t="n">
        <f aca="false">J28*M_dot</f>
        <v>8.77920000000072</v>
      </c>
      <c r="N28" s="15" t="n">
        <f aca="false">N27+dz/2</f>
        <v>3.658</v>
      </c>
      <c r="O28" s="15" t="n">
        <f aca="false">(K28-K27)/dz</f>
        <v>0</v>
      </c>
      <c r="P28" s="15" t="n">
        <f aca="false">(L28-L27)/dz</f>
        <v>0</v>
      </c>
      <c r="Q28" s="15" t="n">
        <f aca="false">(M28-M27)/dz</f>
        <v>0</v>
      </c>
    </row>
    <row r="29" customFormat="false" ht="12.8" hidden="false" customHeight="false" outlineLevel="0" collapsed="false">
      <c r="A29" s="15"/>
      <c r="B29" s="1"/>
      <c r="C29" s="1"/>
      <c r="D29" s="1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customFormat="false" ht="12.8" hidden="false" customHeight="false" outlineLevel="0" collapsed="false">
      <c r="A30" s="15" t="s">
        <v>112</v>
      </c>
      <c r="B30" s="1" t="n">
        <f aca="false">(B28-B6)*t_btu_kw/t_lbm_kg*M_dot/L_chan</f>
        <v>3.99959923528563</v>
      </c>
      <c r="C30" s="1" t="n">
        <f aca="false">(C28-C6)*t_btu_kw/t_lbm_kg*M_dot/L_chan</f>
        <v>3.99810776602416</v>
      </c>
      <c r="D30" s="1" t="n">
        <f aca="false">(D28-D6)*t_btu_kw/t_lbm_kg*M_dot/L_chan</f>
        <v>4.0000000000002</v>
      </c>
      <c r="E30" s="15" t="n">
        <f aca="false">(E28-E6)*M_dot/L_chan</f>
        <v>3.99959923528562</v>
      </c>
      <c r="F30" s="15" t="n">
        <f aca="false">(F28-F6)*M_dot/L_chan</f>
        <v>3.99810776602416</v>
      </c>
      <c r="G30" s="15" t="n">
        <f aca="false">(G28-G6)*M_dot/L_chan</f>
        <v>4.0000000000002</v>
      </c>
      <c r="H30" s="15" t="n">
        <f aca="false">H28*M_dot/L_chan</f>
        <v>2.39970389434107</v>
      </c>
      <c r="I30" s="15" t="n">
        <f aca="false">I28*M_dot/L_chan</f>
        <v>2.39866121936692</v>
      </c>
      <c r="J30" s="15" t="n">
        <f aca="false">J28*M_dot/L_chan</f>
        <v>2.4000000000002</v>
      </c>
      <c r="K30" s="15" t="n">
        <f aca="false">K28/L_chan</f>
        <v>2.39970389434107</v>
      </c>
      <c r="L30" s="15" t="n">
        <f aca="false">L28/L_chan</f>
        <v>2.39866121936692</v>
      </c>
      <c r="M30" s="15" t="n">
        <f aca="false">M28/L_chan</f>
        <v>2.4000000000002</v>
      </c>
      <c r="N30" s="15"/>
      <c r="O30" s="15"/>
      <c r="P30" s="15"/>
      <c r="Q30" s="15"/>
    </row>
    <row r="31" customFormat="false" ht="12.8" hidden="false" customHeight="false" outlineLevel="0" collapsed="false">
      <c r="B31" s="22" t="n">
        <f aca="false">(B30-4)/4</f>
        <v>-0.000100191178592834</v>
      </c>
      <c r="C31" s="22" t="n">
        <f aca="false">(C30-4)/4</f>
        <v>-0.000473058493959067</v>
      </c>
      <c r="D31" s="23" t="n">
        <f aca="false">(D30-4)/4</f>
        <v>4.90718576884319E-014</v>
      </c>
      <c r="E31" s="22"/>
      <c r="F31" s="22"/>
    </row>
    <row r="32" customFormat="false" ht="12.8" hidden="false" customHeight="false" outlineLevel="0" collapsed="false">
      <c r="B32" s="1"/>
      <c r="C32" s="5"/>
      <c r="D32" s="16"/>
      <c r="E32" s="5"/>
      <c r="F32" s="17"/>
    </row>
    <row r="33" customFormat="false" ht="12.8" hidden="false" customHeight="false" outlineLevel="0" collapsed="false">
      <c r="B33" s="1"/>
      <c r="C33" s="5"/>
      <c r="D33" s="16"/>
      <c r="E33" s="5"/>
      <c r="F33" s="17"/>
    </row>
    <row r="34" customFormat="false" ht="12.8" hidden="false" customHeight="false" outlineLevel="0" collapsed="false">
      <c r="C34" s="4" t="s">
        <v>113</v>
      </c>
      <c r="P34" s="1" t="s">
        <v>115</v>
      </c>
    </row>
    <row r="35" customFormat="false" ht="12.8" hidden="false" customHeight="false" outlineLevel="0" collapsed="false">
      <c r="B35" s="0" t="s">
        <v>114</v>
      </c>
      <c r="D35" s="10" t="n">
        <f aca="false">D36</f>
        <v>0.00100024498402407</v>
      </c>
      <c r="E35" s="10" t="n">
        <f aca="false">E36</f>
        <v>0.00223661577843101</v>
      </c>
      <c r="F35" s="0" t="n">
        <f aca="false">F36-E36</f>
        <v>0.00136981879949343</v>
      </c>
      <c r="G35" s="0" t="n">
        <f aca="false">G36-F36</f>
        <v>0.00139479034219591</v>
      </c>
      <c r="H35" s="0" t="n">
        <f aca="false">H36-G36</f>
        <v>0.00140346798045481</v>
      </c>
      <c r="I35" s="0" t="n">
        <f aca="false">I36-H36</f>
        <v>0.00140747016172609</v>
      </c>
      <c r="J35" s="0" t="n">
        <f aca="false">J36-I36</f>
        <v>0.00140964003609288</v>
      </c>
      <c r="K35" s="0" t="n">
        <f aca="false">K36-J36</f>
        <v>0.00141094693023817</v>
      </c>
      <c r="L35" s="0" t="n">
        <f aca="false">L36-K36</f>
        <v>0.0014117945484561</v>
      </c>
      <c r="M35" s="0" t="n">
        <f aca="false">M36-L36</f>
        <v>0.0013937756328854</v>
      </c>
      <c r="N35" s="0" t="n">
        <f aca="false">N36-M36</f>
        <v>0.000275590551181102</v>
      </c>
      <c r="O35" s="0" t="n">
        <f aca="false">O36-N36</f>
        <v>0.0018700787401574</v>
      </c>
      <c r="P35" s="18" t="n">
        <f aca="false">(t_in+q_lin*dz*2/(M_dot*cp_in))*9/5+32</f>
        <v>555.682193565694</v>
      </c>
    </row>
    <row r="36" customFormat="false" ht="12.8" hidden="false" customHeight="false" outlineLevel="0" collapsed="false">
      <c r="B36" s="0" t="s">
        <v>116</v>
      </c>
      <c r="C36" s="10" t="n">
        <v>0</v>
      </c>
      <c r="D36" s="10" t="n">
        <v>0.00100024498402407</v>
      </c>
      <c r="E36" s="10" t="n">
        <v>0.00223661577843101</v>
      </c>
      <c r="F36" s="10" t="n">
        <v>0.00360643457792444</v>
      </c>
      <c r="G36" s="10" t="n">
        <v>0.00500122492012035</v>
      </c>
      <c r="H36" s="10" t="n">
        <v>0.00640469290057516</v>
      </c>
      <c r="I36" s="10" t="n">
        <v>0.00781216306230125</v>
      </c>
      <c r="J36" s="10" t="n">
        <v>0.00922180309839413</v>
      </c>
      <c r="K36" s="10" t="n">
        <v>0.0106327500286323</v>
      </c>
      <c r="L36" s="10" t="n">
        <v>0.0120445445770884</v>
      </c>
      <c r="M36" s="10" t="n">
        <v>0.0134383202099738</v>
      </c>
      <c r="N36" s="10" t="n">
        <v>0.0137139107611549</v>
      </c>
      <c r="O36" s="10" t="n">
        <v>0.0155839895013123</v>
      </c>
      <c r="P36" s="10" t="n">
        <f aca="false">P35</f>
        <v>555.682193565694</v>
      </c>
    </row>
    <row r="37" customFormat="false" ht="12.8" hidden="false" customHeight="false" outlineLevel="0" collapsed="false">
      <c r="A37" s="0" t="s">
        <v>117</v>
      </c>
      <c r="B37" s="1" t="s">
        <v>118</v>
      </c>
      <c r="C37" s="5" t="n">
        <f aca="false">D37</f>
        <v>727.70752</v>
      </c>
      <c r="D37" s="19" t="n">
        <v>727.70752</v>
      </c>
      <c r="E37" s="5" t="n">
        <v>725.643762</v>
      </c>
      <c r="F37" s="5" t="n">
        <v>721.070736</v>
      </c>
      <c r="G37" s="5" t="n">
        <v>714.086137</v>
      </c>
      <c r="H37" s="5" t="n">
        <v>704.715378</v>
      </c>
      <c r="I37" s="5" t="n">
        <v>692.968492</v>
      </c>
      <c r="J37" s="5" t="n">
        <v>678.850447</v>
      </c>
      <c r="K37" s="5" t="n">
        <v>662.364058</v>
      </c>
      <c r="L37" s="5" t="n">
        <v>643.511067</v>
      </c>
      <c r="M37" s="5" t="n">
        <v>622.572052</v>
      </c>
      <c r="N37" s="5" t="n">
        <v>573.305475</v>
      </c>
      <c r="O37" s="5" t="n">
        <v>563.441719</v>
      </c>
      <c r="P37" s="10" t="n">
        <f aca="false">P36</f>
        <v>555.682193565694</v>
      </c>
    </row>
    <row r="38" customFormat="false" ht="12.8" hidden="false" customHeight="false" outlineLevel="0" collapsed="false">
      <c r="A38" s="0" t="s">
        <v>117</v>
      </c>
      <c r="B38" s="1" t="s">
        <v>119</v>
      </c>
      <c r="C38" s="5" t="n">
        <f aca="false">D38</f>
        <v>727.717749</v>
      </c>
      <c r="D38" s="20" t="n">
        <v>727.717749</v>
      </c>
      <c r="E38" s="0" t="n">
        <v>725.653829</v>
      </c>
      <c r="F38" s="0" t="n">
        <v>721.080451</v>
      </c>
      <c r="G38" s="0" t="n">
        <v>714.095326</v>
      </c>
      <c r="H38" s="0" t="n">
        <v>704.723882</v>
      </c>
      <c r="I38" s="0" t="n">
        <v>692.976172</v>
      </c>
      <c r="J38" s="0" t="n">
        <v>678.857187</v>
      </c>
      <c r="K38" s="0" t="n">
        <v>662.369767</v>
      </c>
      <c r="L38" s="0" t="n">
        <v>643.51568</v>
      </c>
      <c r="M38" s="0" t="n">
        <v>622.57555</v>
      </c>
      <c r="N38" s="0" t="n">
        <v>573.306482</v>
      </c>
      <c r="O38" s="0" t="n">
        <v>563.442214</v>
      </c>
      <c r="P38" s="10" t="n">
        <f aca="false">P37</f>
        <v>555.682193565694</v>
      </c>
    </row>
    <row r="39" customFormat="false" ht="12.8" hidden="false" customHeight="false" outlineLevel="0" collapsed="false">
      <c r="A39" s="0" t="s">
        <v>117</v>
      </c>
      <c r="B39" s="1" t="s">
        <v>120</v>
      </c>
      <c r="C39" s="5" t="n">
        <f aca="false">D39</f>
        <v>727.660598</v>
      </c>
      <c r="D39" s="0" t="n">
        <v>727.660598</v>
      </c>
      <c r="E39" s="0" t="n">
        <v>725.597578</v>
      </c>
      <c r="F39" s="0" t="n">
        <v>721.026169</v>
      </c>
      <c r="G39" s="0" t="n">
        <v>714.043987</v>
      </c>
      <c r="H39" s="0" t="n">
        <v>704.676369</v>
      </c>
      <c r="I39" s="0" t="n">
        <v>692.933261</v>
      </c>
      <c r="J39" s="0" t="n">
        <v>678.819528</v>
      </c>
      <c r="K39" s="0" t="n">
        <v>662.33787</v>
      </c>
      <c r="L39" s="0" t="n">
        <v>643.489903</v>
      </c>
      <c r="M39" s="0" t="n">
        <v>622.556007</v>
      </c>
      <c r="N39" s="0" t="n">
        <v>573.300857</v>
      </c>
      <c r="O39" s="0" t="n">
        <v>563.439446</v>
      </c>
      <c r="P39" s="10"/>
      <c r="R39" s="10"/>
    </row>
    <row r="40" customFormat="false" ht="12.8" hidden="false" customHeight="false" outlineLevel="0" collapsed="false">
      <c r="C40" s="4" t="s">
        <v>121</v>
      </c>
      <c r="P40" s="0" t="n">
        <f aca="false">D35/D7*N40</f>
        <v>0</v>
      </c>
    </row>
    <row r="41" customFormat="false" ht="12.8" hidden="false" customHeight="false" outlineLevel="0" collapsed="false">
      <c r="B41" s="1" t="s">
        <v>122</v>
      </c>
      <c r="C41" s="5" t="n">
        <f aca="false">(C36)*t_ft_m*100</f>
        <v>0</v>
      </c>
      <c r="D41" s="5" t="n">
        <f aca="false">(D36)*t_ft_m*100</f>
        <v>0.0304874671130537</v>
      </c>
      <c r="E41" s="5" t="n">
        <f aca="false">(E36)*t_ft_m*100</f>
        <v>0.0681720489265772</v>
      </c>
      <c r="F41" s="5" t="n">
        <f aca="false">(F36)*t_ft_m*100</f>
        <v>0.109924125935137</v>
      </c>
      <c r="G41" s="5" t="n">
        <f aca="false">(G36)*t_ft_m*100</f>
        <v>0.152437335565268</v>
      </c>
      <c r="H41" s="5" t="n">
        <f aca="false">(H36)*t_ft_m*100</f>
        <v>0.195215039609531</v>
      </c>
      <c r="I41" s="5" t="n">
        <f aca="false">(I36)*t_ft_m*100</f>
        <v>0.238114730138942</v>
      </c>
      <c r="J41" s="5" t="n">
        <f aca="false">(J36)*t_ft_m*100</f>
        <v>0.281080558439053</v>
      </c>
      <c r="K41" s="5" t="n">
        <f aca="false">(K36)*t_ft_m*100</f>
        <v>0.324086220872712</v>
      </c>
      <c r="L41" s="5" t="n">
        <f aca="false">(L36)*t_ft_m*100</f>
        <v>0.367117718709654</v>
      </c>
      <c r="M41" s="5" t="n">
        <f aca="false">(M36)*t_ft_m*100</f>
        <v>0.409600000000001</v>
      </c>
      <c r="N41" s="5" t="n">
        <f aca="false">(N36)*t_ft_m*100</f>
        <v>0.418000000000001</v>
      </c>
      <c r="O41" s="5" t="n">
        <f aca="false">(O36)*t_ft_m*100</f>
        <v>0.474999999999999</v>
      </c>
      <c r="Q41" s="5"/>
      <c r="R41" s="3" t="s">
        <v>123</v>
      </c>
      <c r="S41" s="8"/>
      <c r="T41" s="1"/>
      <c r="U41" s="1"/>
      <c r="V41" s="1"/>
      <c r="W41" s="1"/>
      <c r="X41" s="1"/>
      <c r="Y41" s="1"/>
      <c r="Z41" s="1"/>
    </row>
    <row r="42" customFormat="false" ht="12.8" hidden="false" customHeight="false" outlineLevel="0" collapsed="false">
      <c r="A42" s="0" t="s">
        <v>124</v>
      </c>
      <c r="B42" s="1" t="s">
        <v>125</v>
      </c>
      <c r="C42" s="5" t="n">
        <f aca="false">q_dot*1000/(4*k_fuel)*((R_fuel/100)^2)*(1-(C41/R_fuel)^2)+delta_gap+delta_clad</f>
        <v>92.3834112916388</v>
      </c>
      <c r="D42" s="5" t="n">
        <f aca="false">q_dot*1000/(4*k_fuel)*((R_fuel/100)^2)*(1-(D41/R_fuel)^2)+delta_gap+delta_clad</f>
        <v>92.0554464816116</v>
      </c>
      <c r="E42" s="5" t="n">
        <f aca="false">q_dot*1000/(4*k_fuel)*((R_fuel/100)^2)*(1-(E41/R_fuel)^2)+delta_gap+delta_clad</f>
        <v>90.7435872415025</v>
      </c>
      <c r="F42" s="5" t="n">
        <f aca="false">q_dot*1000/(4*k_fuel)*((R_fuel/100)^2)*(1-(F41/R_fuel)^2)+delta_gap+delta_clad</f>
        <v>88.1198687612845</v>
      </c>
      <c r="G42" s="5" t="n">
        <f aca="false">q_dot*1000/(4*k_fuel)*((R_fuel/100)^2)*(1-(G41/R_fuel)^2)+delta_gap+delta_clad</f>
        <v>84.1842910409575</v>
      </c>
      <c r="H42" s="5" t="n">
        <f aca="false">q_dot*1000/(4*k_fuel)*((R_fuel/100)^2)*(1-(H41/R_fuel)^2)+delta_gap+delta_clad</f>
        <v>78.9368540805214</v>
      </c>
      <c r="I42" s="5" t="n">
        <f aca="false">q_dot*1000/(4*k_fuel)*((R_fuel/100)^2)*(1-(I41/R_fuel)^2)+delta_gap+delta_clad</f>
        <v>72.3775578799764</v>
      </c>
      <c r="J42" s="5" t="n">
        <f aca="false">q_dot*1000/(4*k_fuel)*((R_fuel/100)^2)*(1-(J41/R_fuel)^2)+delta_gap+delta_clad</f>
        <v>64.5064024393223</v>
      </c>
      <c r="K42" s="5" t="n">
        <f aca="false">q_dot*1000/(4*k_fuel)*((R_fuel/100)^2)*(1-(K41/R_fuel)^2)+delta_gap+delta_clad</f>
        <v>55.3233877585592</v>
      </c>
      <c r="L42" s="5" t="n">
        <f aca="false">q_dot*1000/(4*k_fuel)*((R_fuel/100)^2)*(1-(L41/R_fuel)^2)+delta_gap+delta_clad</f>
        <v>44.8285138376873</v>
      </c>
      <c r="M42" s="5" t="n">
        <f aca="false">delta_gap+delta_clad</f>
        <v>33.1857630817195</v>
      </c>
      <c r="N42" s="5" t="n">
        <f aca="false">delta_clad</f>
        <v>5.81405867843346</v>
      </c>
      <c r="O42" s="5" t="n">
        <v>0</v>
      </c>
      <c r="P42" s="5" t="n">
        <f aca="false">-delta_fluid</f>
        <v>-3.96106367480532</v>
      </c>
      <c r="Q42" s="1" t="s">
        <v>118</v>
      </c>
      <c r="R42" s="7" t="n">
        <f aca="false">C43-C$42</f>
        <v>-1.12463295830548</v>
      </c>
      <c r="S42" s="7" t="n">
        <f aca="false">D43-D$42</f>
        <v>-0.796668148278229</v>
      </c>
      <c r="T42" s="7" t="n">
        <f aca="false">E43-E$42</f>
        <v>-0.631341130391434</v>
      </c>
      <c r="U42" s="7" t="n">
        <f aca="false">F43-F$42</f>
        <v>-0.548192650173419</v>
      </c>
      <c r="V42" s="7" t="n">
        <f aca="false">G43-G$42</f>
        <v>-0.492947707624168</v>
      </c>
      <c r="W42" s="7" t="n">
        <f aca="false">H43-H$42</f>
        <v>-0.451487969410309</v>
      </c>
      <c r="X42" s="7" t="n">
        <f aca="false">I43-I$42</f>
        <v>-0.418239546643051</v>
      </c>
      <c r="Y42" s="7" t="n">
        <f aca="false">J43-J$42</f>
        <v>-0.390442439322257</v>
      </c>
      <c r="Z42" s="7" t="n">
        <f aca="false">K43-K$42</f>
        <v>-0.366532758559217</v>
      </c>
      <c r="AA42" s="7" t="n">
        <f aca="false">L43-L$42</f>
        <v>-0.345542726576156</v>
      </c>
      <c r="AB42" s="7" t="n">
        <f aca="false">M43-M$42</f>
        <v>-0.335578081719511</v>
      </c>
      <c r="AC42" s="7" t="n">
        <f aca="false">N43-N$42</f>
        <v>-0.334194233989038</v>
      </c>
      <c r="AD42" s="7" t="n">
        <f aca="false">O43-O$42</f>
        <v>0</v>
      </c>
    </row>
    <row r="43" customFormat="false" ht="12.8" hidden="false" customHeight="false" outlineLevel="0" collapsed="false">
      <c r="A43" s="0" t="s">
        <v>124</v>
      </c>
      <c r="B43" s="1" t="s">
        <v>118</v>
      </c>
      <c r="C43" s="5" t="n">
        <f aca="false">(C37-$O37)*t_R_K</f>
        <v>91.2587783333333</v>
      </c>
      <c r="D43" s="5" t="n">
        <f aca="false">(D37-$O37)*t_R_K</f>
        <v>91.2587783333333</v>
      </c>
      <c r="E43" s="5" t="n">
        <f aca="false">(E37-$O37)*t_R_K</f>
        <v>90.1122461111111</v>
      </c>
      <c r="F43" s="5" t="n">
        <f aca="false">(F37-$O37)*t_R_K</f>
        <v>87.5716761111111</v>
      </c>
      <c r="G43" s="5" t="n">
        <f aca="false">(G37-$O37)*t_R_K</f>
        <v>83.6913433333333</v>
      </c>
      <c r="H43" s="5" t="n">
        <f aca="false">(H37-$O37)*t_R_K</f>
        <v>78.4853661111111</v>
      </c>
      <c r="I43" s="5" t="n">
        <f aca="false">(I37-$O37)*t_R_K</f>
        <v>71.9593183333333</v>
      </c>
      <c r="J43" s="5" t="n">
        <f aca="false">(J37-$O37)*t_R_K</f>
        <v>64.11596</v>
      </c>
      <c r="K43" s="5" t="n">
        <f aca="false">(K37-$O37)*t_R_K</f>
        <v>54.956855</v>
      </c>
      <c r="L43" s="5" t="n">
        <f aca="false">(L37-$O37)*t_R_K</f>
        <v>44.4829711111111</v>
      </c>
      <c r="M43" s="5" t="n">
        <f aca="false">(M37-$O37)*t_R_K</f>
        <v>32.850185</v>
      </c>
      <c r="N43" s="5" t="n">
        <f aca="false">(N37-$O37)*t_R_K</f>
        <v>5.47986444444443</v>
      </c>
      <c r="O43" s="5" t="n">
        <f aca="false">(O37-$O37)*t_R_K</f>
        <v>0</v>
      </c>
      <c r="P43" s="5" t="n">
        <f aca="false">(P36-$O37)*t_R_K</f>
        <v>-4.31084746350336</v>
      </c>
      <c r="Q43" s="1" t="s">
        <v>119</v>
      </c>
      <c r="R43" s="7" t="n">
        <f aca="false">C44-C$42</f>
        <v>-1.11922518052771</v>
      </c>
      <c r="S43" s="7" t="n">
        <f aca="false">D44-D$42</f>
        <v>-0.791260370500453</v>
      </c>
      <c r="T43" s="7" t="n">
        <f aca="false">E44-E$42</f>
        <v>-0.6260233526137</v>
      </c>
      <c r="U43" s="7" t="n">
        <f aca="false">F44-F$42</f>
        <v>-0.543070427951179</v>
      </c>
      <c r="V43" s="7" t="n">
        <f aca="false">G44-G$42</f>
        <v>-0.48811770762417</v>
      </c>
      <c r="W43" s="7" t="n">
        <f aca="false">H44-H$42</f>
        <v>-0.447038524965862</v>
      </c>
      <c r="X43" s="7" t="n">
        <f aca="false">I44-I$42</f>
        <v>-0.414247879976358</v>
      </c>
      <c r="Y43" s="7" t="n">
        <f aca="false">J44-J$42</f>
        <v>-0.386972994877851</v>
      </c>
      <c r="Z43" s="7" t="n">
        <f aca="false">K44-K$42</f>
        <v>-0.363636091892538</v>
      </c>
      <c r="AA43" s="7" t="n">
        <f aca="false">L44-L$42</f>
        <v>-0.343254948798403</v>
      </c>
      <c r="AB43" s="7" t="n">
        <f aca="false">M44-M$42</f>
        <v>-0.333909748386162</v>
      </c>
      <c r="AC43" s="7" t="n">
        <f aca="false">N44-N$42</f>
        <v>-0.333909789544617</v>
      </c>
      <c r="AD43" s="7" t="n">
        <f aca="false">O44-O$42</f>
        <v>0</v>
      </c>
    </row>
    <row r="44" customFormat="false" ht="12.8" hidden="false" customHeight="false" outlineLevel="0" collapsed="false">
      <c r="A44" s="0" t="s">
        <v>124</v>
      </c>
      <c r="B44" s="1" t="s">
        <v>119</v>
      </c>
      <c r="C44" s="5" t="n">
        <f aca="false">(C38-$O38)*t_R_K</f>
        <v>91.2641861111111</v>
      </c>
      <c r="D44" s="5" t="n">
        <f aca="false">(D38-$O38)*t_R_K</f>
        <v>91.2641861111111</v>
      </c>
      <c r="E44" s="5" t="n">
        <f aca="false">(E38-$O38)*t_R_K</f>
        <v>90.1175638888889</v>
      </c>
      <c r="F44" s="5" t="n">
        <f aca="false">(F38-$O38)*t_R_K</f>
        <v>87.5767983333333</v>
      </c>
      <c r="G44" s="5" t="n">
        <f aca="false">(G38-$O38)*t_R_K</f>
        <v>83.6961733333333</v>
      </c>
      <c r="H44" s="5" t="n">
        <f aca="false">(H38-$O38)*t_R_K</f>
        <v>78.4898155555555</v>
      </c>
      <c r="I44" s="5" t="n">
        <f aca="false">(I38-$O38)*t_R_K</f>
        <v>71.96331</v>
      </c>
      <c r="J44" s="5" t="n">
        <f aca="false">(J38-$O38)*t_R_K</f>
        <v>64.1194294444444</v>
      </c>
      <c r="K44" s="5" t="n">
        <f aca="false">(K38-$O38)*t_R_K</f>
        <v>54.9597516666667</v>
      </c>
      <c r="L44" s="5" t="n">
        <f aca="false">(L38-$O38)*t_R_K</f>
        <v>44.4852588888889</v>
      </c>
      <c r="M44" s="5" t="n">
        <f aca="false">(M38-$O38)*t_R_K</f>
        <v>32.8518533333333</v>
      </c>
      <c r="N44" s="5" t="n">
        <f aca="false">(N38-$O38)*t_R_K</f>
        <v>5.48014888888885</v>
      </c>
      <c r="O44" s="5" t="n">
        <f aca="false">(O38-$O38)*t_R_K</f>
        <v>0</v>
      </c>
      <c r="P44" s="5" t="n">
        <f aca="false">(P37-$O38)*t_R_K</f>
        <v>-4.31112246350337</v>
      </c>
      <c r="Q44" s="1" t="s">
        <v>120</v>
      </c>
      <c r="R44" s="7" t="n">
        <f aca="false">C45-C$42</f>
        <v>-1.14943795830544</v>
      </c>
      <c r="S44" s="7" t="n">
        <f aca="false">D45-D$42</f>
        <v>-0.821473148278187</v>
      </c>
      <c r="T44" s="7" t="n">
        <f aca="false">E45-E$42</f>
        <v>-0.655736130391418</v>
      </c>
      <c r="U44" s="7" t="n">
        <f aca="false">F45-F$42</f>
        <v>-0.571689316840065</v>
      </c>
      <c r="V44" s="7" t="n">
        <f aca="false">G45-G$42</f>
        <v>-0.51510159651302</v>
      </c>
      <c r="W44" s="7" t="n">
        <f aca="false">H45-H$42</f>
        <v>-0.471896858299147</v>
      </c>
      <c r="X44" s="7" t="n">
        <f aca="false">I45-I$42</f>
        <v>-0.436549546642993</v>
      </c>
      <c r="Y44" s="7" t="n">
        <f aca="false">J45-J$42</f>
        <v>-0.406356883766691</v>
      </c>
      <c r="Z44" s="7" t="n">
        <f aca="false">K45-K$42</f>
        <v>-0.379818869670324</v>
      </c>
      <c r="AA44" s="7" t="n">
        <f aca="false">L45-L$42</f>
        <v>-0.356037726576119</v>
      </c>
      <c r="AB44" s="7" t="n">
        <f aca="false">M45-M$42</f>
        <v>-0.34322919283057</v>
      </c>
      <c r="AC44" s="7" t="n">
        <f aca="false">N45-N$42</f>
        <v>-0.335497011766811</v>
      </c>
      <c r="AD44" s="7" t="n">
        <f aca="false">O45-O$42</f>
        <v>0</v>
      </c>
    </row>
    <row r="45" customFormat="false" ht="12.8" hidden="false" customHeight="false" outlineLevel="0" collapsed="false">
      <c r="A45" s="0" t="s">
        <v>124</v>
      </c>
      <c r="B45" s="1" t="s">
        <v>120</v>
      </c>
      <c r="C45" s="5" t="n">
        <f aca="false">(C39-$O39)*t_R_K</f>
        <v>91.2339733333334</v>
      </c>
      <c r="D45" s="5" t="n">
        <f aca="false">(D39-$O39)*t_R_K</f>
        <v>91.2339733333334</v>
      </c>
      <c r="E45" s="5" t="n">
        <f aca="false">(E39-$O39)*t_R_K</f>
        <v>90.0878511111111</v>
      </c>
      <c r="F45" s="5" t="n">
        <f aca="false">(F39-$O39)*t_R_K</f>
        <v>87.5481794444445</v>
      </c>
      <c r="G45" s="5" t="n">
        <f aca="false">(G39-$O39)*t_R_K</f>
        <v>83.6691894444445</v>
      </c>
      <c r="H45" s="5" t="n">
        <f aca="false">(H39-$O39)*t_R_K</f>
        <v>78.4649572222223</v>
      </c>
      <c r="I45" s="5" t="n">
        <f aca="false">(I39-$O39)*t_R_K</f>
        <v>71.9410083333334</v>
      </c>
      <c r="J45" s="5" t="n">
        <f aca="false">(J39-$O39)*t_R_K</f>
        <v>64.1000455555556</v>
      </c>
      <c r="K45" s="5" t="n">
        <f aca="false">(K39-$O39)*t_R_K</f>
        <v>54.9435688888889</v>
      </c>
      <c r="L45" s="5" t="n">
        <f aca="false">(L39-$O39)*t_R_K</f>
        <v>44.4724761111111</v>
      </c>
      <c r="M45" s="5" t="n">
        <f aca="false">(M39-$O39)*t_R_K</f>
        <v>32.8425338888889</v>
      </c>
      <c r="N45" s="5" t="n">
        <f aca="false">(N39-$O39)*t_R_K</f>
        <v>5.47856166666665</v>
      </c>
      <c r="O45" s="5" t="n">
        <f aca="false">(O39-$O39)*t_R_K</f>
        <v>0</v>
      </c>
      <c r="P45" s="5" t="n">
        <f aca="false">(P38-$O39)*t_R_K</f>
        <v>-4.30958468572555</v>
      </c>
    </row>
    <row r="46" customFormat="false" ht="12.8" hidden="false" customHeight="false" outlineLevel="0" collapsed="false"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customFormat="false" ht="12.8" hidden="false" customHeight="false" outlineLevel="0" collapsed="false">
      <c r="C47" s="4" t="s">
        <v>126</v>
      </c>
    </row>
    <row r="48" customFormat="false" ht="12.8" hidden="false" customHeight="false" outlineLevel="0" collapsed="false">
      <c r="B48" s="1" t="s">
        <v>122</v>
      </c>
      <c r="C48" s="8" t="n">
        <f aca="false">(C36)*t_ft_m*100</f>
        <v>0</v>
      </c>
      <c r="D48" s="8" t="n">
        <f aca="false">(D36)*t_ft_m*100</f>
        <v>0.0304874671130537</v>
      </c>
      <c r="E48" s="8" t="n">
        <f aca="false">(E36)*t_ft_m*100</f>
        <v>0.0681720489265772</v>
      </c>
      <c r="F48" s="8" t="n">
        <f aca="false">(F36)*t_ft_m*100</f>
        <v>0.109924125935137</v>
      </c>
      <c r="G48" s="8" t="n">
        <f aca="false">(G36)*t_ft_m*100</f>
        <v>0.152437335565268</v>
      </c>
      <c r="H48" s="8" t="n">
        <f aca="false">(H36)*t_ft_m*100</f>
        <v>0.195215039609531</v>
      </c>
      <c r="I48" s="8" t="n">
        <f aca="false">(I36)*t_ft_m*100</f>
        <v>0.238114730138942</v>
      </c>
      <c r="J48" s="8" t="n">
        <f aca="false">(J36)*t_ft_m*100</f>
        <v>0.281080558439053</v>
      </c>
      <c r="K48" s="8" t="n">
        <f aca="false">(K36)*t_ft_m*100</f>
        <v>0.324086220872712</v>
      </c>
      <c r="L48" s="8" t="n">
        <f aca="false">(L36)*t_ft_m*100</f>
        <v>0.367117718709654</v>
      </c>
      <c r="M48" s="8" t="n">
        <f aca="false">(M36)*t_ft_m*100</f>
        <v>0.409600000000001</v>
      </c>
      <c r="N48" s="8" t="n">
        <f aca="false">(N36)*t_ft_m*100</f>
        <v>0.418000000000001</v>
      </c>
      <c r="O48" s="8" t="n">
        <f aca="false">(O36)*t_ft_m*100</f>
        <v>0.474999999999999</v>
      </c>
      <c r="P48" s="8"/>
    </row>
    <row r="49" customFormat="false" ht="12.8" hidden="false" customHeight="false" outlineLevel="0" collapsed="false">
      <c r="A49" s="0" t="s">
        <v>124</v>
      </c>
      <c r="B49" s="1" t="s">
        <v>125</v>
      </c>
      <c r="C49" s="5" t="n">
        <f aca="false">C42+$P49-$P42</f>
        <v>387.279026947385</v>
      </c>
      <c r="D49" s="5" t="n">
        <f aca="false">D42+$P49-$P42</f>
        <v>386.951062137358</v>
      </c>
      <c r="E49" s="5" t="n">
        <f aca="false">E42+$P49-$P42</f>
        <v>385.639202897249</v>
      </c>
      <c r="F49" s="5" t="n">
        <f aca="false">F42+$P49-$P42</f>
        <v>383.015484417031</v>
      </c>
      <c r="G49" s="5" t="n">
        <f aca="false">G42+$P49-$P42</f>
        <v>379.079906696704</v>
      </c>
      <c r="H49" s="5" t="n">
        <f aca="false">H42+$P49-$P42</f>
        <v>373.832469736268</v>
      </c>
      <c r="I49" s="5" t="n">
        <f aca="false">I42+$P49-$P42</f>
        <v>367.273173535723</v>
      </c>
      <c r="J49" s="5" t="n">
        <f aca="false">J42+$P49-$P42</f>
        <v>359.402018095069</v>
      </c>
      <c r="K49" s="5" t="n">
        <f aca="false">K42+$P49-$P42</f>
        <v>350.219003414306</v>
      </c>
      <c r="L49" s="5" t="n">
        <f aca="false">L42+$P49-$P42</f>
        <v>339.724129493434</v>
      </c>
      <c r="M49" s="5" t="n">
        <f aca="false">M42+$P49-$P42</f>
        <v>328.081378737466</v>
      </c>
      <c r="N49" s="5" t="n">
        <f aca="false">N42+$P49-$P42</f>
        <v>300.70967433418</v>
      </c>
      <c r="O49" s="5" t="n">
        <f aca="false">O42+$P49-$P42</f>
        <v>294.895615655746</v>
      </c>
      <c r="P49" s="5" t="n">
        <f aca="false">5/9*(P35-32)</f>
        <v>290.934551980941</v>
      </c>
      <c r="Q49" s="5"/>
      <c r="R49" s="3" t="s">
        <v>127</v>
      </c>
      <c r="S49" s="8"/>
      <c r="T49" s="1"/>
      <c r="U49" s="1"/>
      <c r="V49" s="1"/>
      <c r="W49" s="1"/>
      <c r="X49" s="1"/>
      <c r="Y49" s="1"/>
      <c r="Z49" s="1"/>
    </row>
    <row r="50" customFormat="false" ht="12.8" hidden="false" customHeight="false" outlineLevel="0" collapsed="false">
      <c r="A50" s="0" t="s">
        <v>124</v>
      </c>
      <c r="B50" s="1" t="s">
        <v>118</v>
      </c>
      <c r="C50" s="5" t="n">
        <f aca="false">C43+$P50-$P43</f>
        <v>386.504177777778</v>
      </c>
      <c r="D50" s="5" t="n">
        <f aca="false">D43+$P50-$P43</f>
        <v>386.504177777778</v>
      </c>
      <c r="E50" s="5" t="n">
        <f aca="false">E43+$P50-$P43</f>
        <v>385.357645555556</v>
      </c>
      <c r="F50" s="5" t="n">
        <f aca="false">F43+$P50-$P43</f>
        <v>382.817075555556</v>
      </c>
      <c r="G50" s="5" t="n">
        <f aca="false">G43+$P50-$P43</f>
        <v>378.936742777778</v>
      </c>
      <c r="H50" s="5" t="n">
        <f aca="false">H43+$P50-$P43</f>
        <v>373.730765555556</v>
      </c>
      <c r="I50" s="5" t="n">
        <f aca="false">I43+$P50-$P43</f>
        <v>367.204717777778</v>
      </c>
      <c r="J50" s="5" t="n">
        <f aca="false">J43+$P50-$P43</f>
        <v>359.361359444444</v>
      </c>
      <c r="K50" s="5" t="n">
        <f aca="false">K43+$P50-$P43</f>
        <v>350.202254444444</v>
      </c>
      <c r="L50" s="5" t="n">
        <f aca="false">L43+$P50-$P43</f>
        <v>339.728370555556</v>
      </c>
      <c r="M50" s="5" t="n">
        <f aca="false">M43+$P50-$P43</f>
        <v>328.095584444444</v>
      </c>
      <c r="N50" s="5" t="n">
        <f aca="false">N43+$P50-$P43</f>
        <v>300.725263888889</v>
      </c>
      <c r="O50" s="5" t="n">
        <f aca="false">O43+$P50-$P43</f>
        <v>295.245399444445</v>
      </c>
      <c r="P50" s="5" t="n">
        <f aca="false">5/9*(P36-32)</f>
        <v>290.934551980941</v>
      </c>
      <c r="Q50" s="1" t="s">
        <v>118</v>
      </c>
      <c r="R50" s="21" t="n">
        <f aca="false">(C50-C$49)/C$49</f>
        <v>-0.00200075169501159</v>
      </c>
      <c r="S50" s="21" t="n">
        <f aca="false">(D50-D$49)/D$49</f>
        <v>-0.00115488598767959</v>
      </c>
      <c r="T50" s="21" t="n">
        <f aca="false">(E50-E$49)/E$49</f>
        <v>-0.000730105600203698</v>
      </c>
      <c r="U50" s="21" t="n">
        <f aca="false">(F50-F$49)/F$49</f>
        <v>-0.000518017859714814</v>
      </c>
      <c r="V50" s="21" t="n">
        <f aca="false">(G50-G$49)/G$49</f>
        <v>-0.000377661586375412</v>
      </c>
      <c r="W50" s="21" t="n">
        <f aca="false">(H50-H$49)/H$49</f>
        <v>-0.000272058178317179</v>
      </c>
      <c r="X50" s="21" t="n">
        <f aca="false">(I50-I$49)/I$49</f>
        <v>-0.000186389213472855</v>
      </c>
      <c r="Y50" s="21" t="n">
        <f aca="false">(J50-J$49)/J$49</f>
        <v>-0.000113128609682582</v>
      </c>
      <c r="Z50" s="21" t="n">
        <f aca="false">(K50-K$49)/K$49</f>
        <v>-4.7824274804857E-005</v>
      </c>
      <c r="AA50" s="21" t="n">
        <f aca="false">(L50-L$49)/L$49</f>
        <v>1.24838413104731E-005</v>
      </c>
      <c r="AB50" s="21" t="n">
        <f aca="false">(M50-M$49)/M$49</f>
        <v>4.329933942978E-005</v>
      </c>
      <c r="AC50" s="21" t="n">
        <f aca="false">(N50-N$49)/N$49</f>
        <v>5.18425446190114E-005</v>
      </c>
      <c r="AD50" s="21" t="n">
        <f aca="false">(O50-O$49)/O$49</f>
        <v>0.00118612746384941</v>
      </c>
    </row>
    <row r="51" customFormat="false" ht="12.8" hidden="false" customHeight="false" outlineLevel="0" collapsed="false">
      <c r="A51" s="0" t="s">
        <v>124</v>
      </c>
      <c r="B51" s="1" t="s">
        <v>119</v>
      </c>
      <c r="C51" s="5" t="n">
        <f aca="false">C44+$P51-$P44</f>
        <v>386.509860555556</v>
      </c>
      <c r="D51" s="5" t="n">
        <f aca="false">D44+$P51-$P44</f>
        <v>386.509860555556</v>
      </c>
      <c r="E51" s="5" t="n">
        <f aca="false">E44+$P51-$P44</f>
        <v>385.363238333333</v>
      </c>
      <c r="F51" s="5" t="n">
        <f aca="false">F44+$P51-$P44</f>
        <v>382.822472777778</v>
      </c>
      <c r="G51" s="5" t="n">
        <f aca="false">G44+$P51-$P44</f>
        <v>378.941847777778</v>
      </c>
      <c r="H51" s="5" t="n">
        <f aca="false">H44+$P51-$P44</f>
        <v>373.73549</v>
      </c>
      <c r="I51" s="5" t="n">
        <f aca="false">I44+$P51-$P44</f>
        <v>367.208984444444</v>
      </c>
      <c r="J51" s="5" t="n">
        <f aca="false">J44+$P51-$P44</f>
        <v>359.365103888889</v>
      </c>
      <c r="K51" s="5" t="n">
        <f aca="false">K44+$P51-$P44</f>
        <v>350.205426111111</v>
      </c>
      <c r="L51" s="5" t="n">
        <f aca="false">L44+$P51-$P44</f>
        <v>339.730933333333</v>
      </c>
      <c r="M51" s="5" t="n">
        <f aca="false">M44+$P51-$P44</f>
        <v>328.097527777778</v>
      </c>
      <c r="N51" s="5" t="n">
        <f aca="false">N44+$P51-$P44</f>
        <v>300.725823333333</v>
      </c>
      <c r="O51" s="5" t="n">
        <f aca="false">O44+$P51-$P44</f>
        <v>295.245674444444</v>
      </c>
      <c r="P51" s="5" t="n">
        <f aca="false">5/9*(P37-32)</f>
        <v>290.934551980941</v>
      </c>
      <c r="Q51" s="1" t="s">
        <v>119</v>
      </c>
      <c r="R51" s="21" t="n">
        <f aca="false">(C51-C$49)/C$49</f>
        <v>-0.00198607809437129</v>
      </c>
      <c r="S51" s="21" t="n">
        <f aca="false">(D51-D$49)/D$49</f>
        <v>-0.00114019995026079</v>
      </c>
      <c r="T51" s="21" t="n">
        <f aca="false">(E51-E$49)/E$49</f>
        <v>-0.00071560298289789</v>
      </c>
      <c r="U51" s="21" t="n">
        <f aca="false">(F51-F$49)/F$49</f>
        <v>-0.000503926465393212</v>
      </c>
      <c r="V51" s="21" t="n">
        <f aca="false">(G51-G$49)/G$49</f>
        <v>-0.000364194768668034</v>
      </c>
      <c r="W51" s="21" t="n">
        <f aca="false">(H51-H$49)/H$49</f>
        <v>-0.000259420312891076</v>
      </c>
      <c r="X51" s="21" t="n">
        <f aca="false">(I51-I$49)/I$49</f>
        <v>-0.000174772065872284</v>
      </c>
      <c r="Y51" s="21" t="n">
        <f aca="false">(J51-J$49)/J$49</f>
        <v>-0.000102710069285246</v>
      </c>
      <c r="Z51" s="21" t="n">
        <f aca="false">(K51-K$49)/K$49</f>
        <v>-3.87680367488031E-005</v>
      </c>
      <c r="AA51" s="21" t="n">
        <f aca="false">(L51-L$49)/L$49</f>
        <v>2.00275438479794E-005</v>
      </c>
      <c r="AB51" s="21" t="n">
        <f aca="false">(M51-M$49)/M$49</f>
        <v>4.92226665654152E-005</v>
      </c>
      <c r="AC51" s="21" t="n">
        <f aca="false">(N51-N$49)/N$49</f>
        <v>5.37029584737235E-005</v>
      </c>
      <c r="AD51" s="21" t="n">
        <f aca="false">(O51-O$49)/O$49</f>
        <v>0.00118705999721169</v>
      </c>
    </row>
    <row r="52" customFormat="false" ht="12.8" hidden="false" customHeight="false" outlineLevel="0" collapsed="false">
      <c r="A52" s="0" t="s">
        <v>124</v>
      </c>
      <c r="B52" s="1" t="s">
        <v>120</v>
      </c>
      <c r="C52" s="5" t="n">
        <f aca="false">C45+$P52-$P45</f>
        <v>386.47811</v>
      </c>
      <c r="D52" s="5" t="n">
        <f aca="false">D45+$P52-$P45</f>
        <v>386.47811</v>
      </c>
      <c r="E52" s="5" t="n">
        <f aca="false">E45+$P52-$P45</f>
        <v>385.331987777778</v>
      </c>
      <c r="F52" s="5" t="n">
        <f aca="false">F45+$P52-$P45</f>
        <v>382.792316111111</v>
      </c>
      <c r="G52" s="5" t="n">
        <f aca="false">G45+$P52-$P45</f>
        <v>378.913326111111</v>
      </c>
      <c r="H52" s="5" t="n">
        <f aca="false">H45+$P52-$P45</f>
        <v>373.709093888889</v>
      </c>
      <c r="I52" s="5" t="n">
        <f aca="false">I45+$P52-$P45</f>
        <v>367.185145</v>
      </c>
      <c r="J52" s="5" t="n">
        <f aca="false">J45+$P52-$P45</f>
        <v>359.344182222222</v>
      </c>
      <c r="K52" s="5" t="n">
        <f aca="false">K45+$P52-$P45</f>
        <v>350.187705555556</v>
      </c>
      <c r="L52" s="5" t="n">
        <f aca="false">L45+$P52-$P45</f>
        <v>339.716612777778</v>
      </c>
      <c r="M52" s="5" t="n">
        <f aca="false">M45+$P52-$P45</f>
        <v>328.086670555556</v>
      </c>
      <c r="N52" s="5" t="n">
        <f aca="false">N45+$P52-$P45</f>
        <v>300.722698333333</v>
      </c>
      <c r="O52" s="5" t="n">
        <f aca="false">O45+$P52-$P45</f>
        <v>295.244136666667</v>
      </c>
      <c r="P52" s="5" t="n">
        <f aca="false">5/9*(P38-32)</f>
        <v>290.934551980941</v>
      </c>
      <c r="Q52" s="1" t="s">
        <v>120</v>
      </c>
      <c r="R52" s="21" t="n">
        <f aca="false">(C52-C$49)/C$49</f>
        <v>-0.00206806176337042</v>
      </c>
      <c r="S52" s="21" t="n">
        <f aca="false">(D52-D$49)/D$49</f>
        <v>-0.00122225310545872</v>
      </c>
      <c r="T52" s="21" t="n">
        <f aca="false">(E52-E$49)/E$49</f>
        <v>-0.000796638716092896</v>
      </c>
      <c r="U52" s="21" t="n">
        <f aca="false">(F52-F$49)/F$49</f>
        <v>-0.000582661315271518</v>
      </c>
      <c r="V52" s="21" t="n">
        <f aca="false">(G52-G$49)/G$49</f>
        <v>-0.000439433962734568</v>
      </c>
      <c r="W52" s="21" t="n">
        <f aca="false">(H52-H$49)/H$49</f>
        <v>-0.000330029779023568</v>
      </c>
      <c r="X52" s="21" t="n">
        <f aca="false">(I52-I$49)/I$49</f>
        <v>-0.000239681365440594</v>
      </c>
      <c r="Y52" s="21" t="n">
        <f aca="false">(J52-J$49)/J$49</f>
        <v>-0.000160922504422763</v>
      </c>
      <c r="Z52" s="21" t="n">
        <f aca="false">(K52-K$49)/K$49</f>
        <v>-8.9366534782352E-005</v>
      </c>
      <c r="AA52" s="21" t="n">
        <f aca="false">(L52-L$49)/L$49</f>
        <v>-2.21259398532451E-005</v>
      </c>
      <c r="AB52" s="21" t="n">
        <f aca="false">(M52-M$49)/M$49</f>
        <v>1.61295898903263E-005</v>
      </c>
      <c r="AC52" s="21" t="n">
        <f aca="false">(N52-N$49)/N$49</f>
        <v>4.33108751233166E-005</v>
      </c>
      <c r="AD52" s="21" t="n">
        <f aca="false">(O52-O$49)/O$49</f>
        <v>0.00118184534600577</v>
      </c>
    </row>
    <row r="53" customFormat="false" ht="12.8" hidden="false" customHeight="false" outlineLevel="0" collapsed="false">
      <c r="Q53" s="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6" customFormat="false" ht="12.8" hidden="false" customHeight="false" outlineLevel="0" collapsed="false">
      <c r="C56" s="1"/>
      <c r="D56" s="1" t="s">
        <v>128</v>
      </c>
    </row>
    <row r="57" customFormat="false" ht="12.8" hidden="false" customHeight="false" outlineLevel="0" collapsed="false">
      <c r="B57" s="5"/>
      <c r="C57" s="5"/>
      <c r="D57" s="19" t="n">
        <v>727.70752</v>
      </c>
      <c r="E57" s="5" t="n">
        <v>725.643762</v>
      </c>
      <c r="F57" s="5" t="n">
        <v>721.070736</v>
      </c>
      <c r="G57" s="5" t="n">
        <v>714.086137</v>
      </c>
      <c r="H57" s="5" t="n">
        <v>704.715378</v>
      </c>
      <c r="I57" s="5" t="n">
        <v>692.968492</v>
      </c>
      <c r="J57" s="5" t="n">
        <v>678.850447</v>
      </c>
      <c r="K57" s="5" t="n">
        <v>662.364058</v>
      </c>
      <c r="L57" s="5" t="n">
        <v>643.511067</v>
      </c>
      <c r="M57" s="5" t="n">
        <v>622.572052</v>
      </c>
      <c r="N57" s="5" t="n">
        <v>573.305475</v>
      </c>
      <c r="O57" s="5" t="n">
        <v>563.441719</v>
      </c>
      <c r="P57" s="5"/>
    </row>
    <row r="58" customFormat="false" ht="12.8" hidden="false" customHeight="false" outlineLevel="0" collapsed="false">
      <c r="A58" s="5"/>
      <c r="D58" s="20" t="n">
        <v>727.717749</v>
      </c>
      <c r="E58" s="0" t="n">
        <v>725.653829</v>
      </c>
      <c r="F58" s="0" t="n">
        <v>721.080451</v>
      </c>
      <c r="G58" s="0" t="n">
        <v>714.095326</v>
      </c>
      <c r="H58" s="0" t="n">
        <v>704.723882</v>
      </c>
      <c r="I58" s="0" t="n">
        <v>692.976172</v>
      </c>
      <c r="J58" s="0" t="n">
        <v>678.857187</v>
      </c>
      <c r="K58" s="0" t="n">
        <v>662.369767</v>
      </c>
      <c r="L58" s="0" t="n">
        <v>643.51568</v>
      </c>
      <c r="M58" s="0" t="n">
        <v>622.57555</v>
      </c>
      <c r="N58" s="0" t="n">
        <v>573.306482</v>
      </c>
      <c r="O58" s="0" t="n">
        <v>563.442214</v>
      </c>
    </row>
    <row r="59" customFormat="false" ht="12.8" hidden="false" customHeight="false" outlineLevel="0" collapsed="false">
      <c r="D59" s="0" t="n">
        <v>727.660598</v>
      </c>
      <c r="E59" s="0" t="n">
        <v>725.597578</v>
      </c>
      <c r="F59" s="0" t="n">
        <v>721.026169</v>
      </c>
      <c r="G59" s="0" t="n">
        <v>714.043987</v>
      </c>
      <c r="H59" s="0" t="n">
        <v>704.676369</v>
      </c>
      <c r="I59" s="0" t="n">
        <v>692.933261</v>
      </c>
      <c r="J59" s="0" t="n">
        <v>678.819528</v>
      </c>
      <c r="K59" s="0" t="n">
        <v>662.33787</v>
      </c>
      <c r="L59" s="0" t="n">
        <v>643.489903</v>
      </c>
      <c r="M59" s="0" t="n">
        <v>622.556007</v>
      </c>
      <c r="N59" s="0" t="n">
        <v>573.300857</v>
      </c>
      <c r="O59" s="0" t="n">
        <v>563.439446</v>
      </c>
    </row>
  </sheetData>
  <mergeCells count="1">
    <mergeCell ref="A1:D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O59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90" zoomScaleNormal="90" zoomScalePageLayoutView="100" workbookViewId="0">
      <selection pane="topLeft" activeCell="E64" activeCellId="0" sqref="E64"/>
    </sheetView>
  </sheetViews>
  <sheetFormatPr defaultRowHeight="12.8"/>
  <cols>
    <col collapsed="false" hidden="false" max="1" min="1" style="0" width="11.5204081632653"/>
    <col collapsed="false" hidden="false" max="2" min="2" style="0" width="16.5765306122449"/>
    <col collapsed="false" hidden="false" max="4" min="3" style="0" width="14.4438775510204"/>
    <col collapsed="false" hidden="false" max="15" min="5" style="0" width="11.5204081632653"/>
    <col collapsed="false" hidden="false" max="17" min="16" style="0" width="17.3775510204082"/>
    <col collapsed="false" hidden="false" max="1025" min="18" style="0" width="11.5204081632653"/>
  </cols>
  <sheetData>
    <row r="1" customFormat="false" ht="12.8" hidden="false" customHeight="false" outlineLevel="0" collapsed="false">
      <c r="A1" s="14" t="s">
        <v>130</v>
      </c>
      <c r="B1" s="14"/>
      <c r="C1" s="14"/>
      <c r="D1" s="14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customFormat="false" ht="12.8" hidden="false" customHeight="false" outlineLevel="0" collapsed="false">
      <c r="A2" s="14"/>
      <c r="B2" s="14"/>
      <c r="C2" s="14"/>
      <c r="D2" s="14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customFormat="false" ht="12.8" hidden="false" customHeight="false" outlineLevel="0" collapsed="false">
      <c r="A3" s="15"/>
      <c r="B3" s="15" t="s">
        <v>104</v>
      </c>
      <c r="C3" s="15" t="s">
        <v>105</v>
      </c>
      <c r="D3" s="15" t="s">
        <v>106</v>
      </c>
      <c r="E3" s="15" t="s">
        <v>104</v>
      </c>
      <c r="F3" s="15" t="s">
        <v>105</v>
      </c>
      <c r="G3" s="15" t="s">
        <v>106</v>
      </c>
      <c r="H3" s="15" t="s">
        <v>104</v>
      </c>
      <c r="I3" s="15" t="s">
        <v>105</v>
      </c>
      <c r="J3" s="15" t="s">
        <v>106</v>
      </c>
      <c r="K3" s="15" t="s">
        <v>104</v>
      </c>
      <c r="L3" s="15" t="s">
        <v>105</v>
      </c>
      <c r="M3" s="15" t="s">
        <v>106</v>
      </c>
      <c r="N3" s="15"/>
      <c r="O3" s="15" t="s">
        <v>104</v>
      </c>
      <c r="P3" s="15" t="s">
        <v>105</v>
      </c>
      <c r="Q3" s="15" t="s">
        <v>106</v>
      </c>
    </row>
    <row r="4" customFormat="false" ht="12.8" hidden="false" customHeight="false" outlineLevel="0" collapsed="false">
      <c r="A4" s="15"/>
      <c r="B4" s="15" t="s">
        <v>107</v>
      </c>
      <c r="C4" s="15" t="s">
        <v>107</v>
      </c>
      <c r="D4" s="15" t="s">
        <v>107</v>
      </c>
      <c r="E4" s="15" t="s">
        <v>107</v>
      </c>
      <c r="F4" s="15" t="s">
        <v>107</v>
      </c>
      <c r="G4" s="15" t="s">
        <v>107</v>
      </c>
      <c r="H4" s="15" t="s">
        <v>108</v>
      </c>
      <c r="I4" s="15" t="s">
        <v>108</v>
      </c>
      <c r="J4" s="15" t="s">
        <v>108</v>
      </c>
      <c r="K4" s="15" t="s">
        <v>108</v>
      </c>
      <c r="L4" s="15" t="s">
        <v>108</v>
      </c>
      <c r="M4" s="15" t="s">
        <v>108</v>
      </c>
      <c r="N4" s="15"/>
      <c r="O4" s="15" t="s">
        <v>108</v>
      </c>
      <c r="P4" s="15" t="s">
        <v>108</v>
      </c>
      <c r="Q4" s="15" t="s">
        <v>108</v>
      </c>
    </row>
    <row r="5" customFormat="false" ht="12.8" hidden="false" customHeight="false" outlineLevel="0" collapsed="false">
      <c r="A5" s="15"/>
      <c r="B5" s="15" t="s">
        <v>109</v>
      </c>
      <c r="C5" s="15" t="s">
        <v>109</v>
      </c>
      <c r="D5" s="15" t="s">
        <v>109</v>
      </c>
      <c r="E5" s="15" t="s">
        <v>88</v>
      </c>
      <c r="F5" s="15" t="s">
        <v>88</v>
      </c>
      <c r="G5" s="15" t="s">
        <v>88</v>
      </c>
      <c r="H5" s="15" t="s">
        <v>107</v>
      </c>
      <c r="I5" s="15" t="s">
        <v>107</v>
      </c>
      <c r="J5" s="15" t="s">
        <v>107</v>
      </c>
      <c r="K5" s="15" t="s">
        <v>110</v>
      </c>
      <c r="L5" s="15" t="s">
        <v>110</v>
      </c>
      <c r="M5" s="15" t="s">
        <v>110</v>
      </c>
      <c r="N5" s="15" t="s">
        <v>111</v>
      </c>
      <c r="O5" s="15" t="s">
        <v>110</v>
      </c>
      <c r="P5" s="15" t="s">
        <v>110</v>
      </c>
      <c r="Q5" s="15" t="s">
        <v>110</v>
      </c>
    </row>
    <row r="6" customFormat="false" ht="12.8" hidden="false" customHeight="false" outlineLevel="0" collapsed="false">
      <c r="A6" s="15"/>
      <c r="B6" s="15" t="n">
        <f aca="false">B7</f>
        <v>554.232258064516</v>
      </c>
      <c r="C6" s="15" t="n">
        <f aca="false">C7</f>
        <v>554.232258064516</v>
      </c>
      <c r="D6" s="15" t="n">
        <f aca="false">D7</f>
        <v>554.232258064516</v>
      </c>
      <c r="E6" s="15" t="n">
        <f aca="false">B6*t_btu_kw/t_lbm_kg</f>
        <v>1289.14269914251</v>
      </c>
      <c r="F6" s="15" t="n">
        <f aca="false">C6*t_btu_kw/t_lbm_kg</f>
        <v>1289.14269914251</v>
      </c>
      <c r="G6" s="15" t="n">
        <f aca="false">D6*t_btu_kw/t_lbm_kg</f>
        <v>1289.14269914251</v>
      </c>
      <c r="H6" s="15" t="s">
        <v>88</v>
      </c>
      <c r="I6" s="15" t="s">
        <v>88</v>
      </c>
      <c r="J6" s="15" t="s">
        <v>88</v>
      </c>
      <c r="K6" s="15" t="s">
        <v>65</v>
      </c>
      <c r="L6" s="15" t="s">
        <v>65</v>
      </c>
      <c r="M6" s="15" t="s">
        <v>65</v>
      </c>
      <c r="N6" s="15" t="s">
        <v>16</v>
      </c>
      <c r="O6" s="15" t="s">
        <v>63</v>
      </c>
      <c r="P6" s="15" t="s">
        <v>63</v>
      </c>
      <c r="Q6" s="15" t="s">
        <v>63</v>
      </c>
    </row>
    <row r="7" customFormat="false" ht="12.8" hidden="false" customHeight="false" outlineLevel="0" collapsed="false">
      <c r="A7" s="15"/>
      <c r="B7" s="15" t="n">
        <v>554.232258064516</v>
      </c>
      <c r="C7" s="15" t="n">
        <v>554.232258064516</v>
      </c>
      <c r="D7" s="15" t="n">
        <v>554.232258064516</v>
      </c>
      <c r="E7" s="15" t="n">
        <f aca="false">B7*t_btu_kw/t_lbm_kg</f>
        <v>1289.14269914251</v>
      </c>
      <c r="F7" s="15" t="n">
        <f aca="false">C7*t_btu_kw/t_lbm_kg</f>
        <v>1289.14269914251</v>
      </c>
      <c r="G7" s="15" t="n">
        <f aca="false">D7*t_btu_kw/t_lbm_kg</f>
        <v>1289.14269914251</v>
      </c>
      <c r="H7" s="15" t="n">
        <f aca="false">E7-E$15</f>
        <v>-19.5080571905839</v>
      </c>
      <c r="I7" s="15" t="n">
        <f aca="false">F7-F$15</f>
        <v>-19.5024795956645</v>
      </c>
      <c r="J7" s="15" t="n">
        <f aca="false">G7-G$15</f>
        <v>-19.5093333333334</v>
      </c>
      <c r="K7" s="15" t="n">
        <f aca="false">H7/M_dot</f>
        <v>-65.0268573019465</v>
      </c>
      <c r="L7" s="15" t="n">
        <f aca="false">I7/M_dot</f>
        <v>-65.0082653188815</v>
      </c>
      <c r="M7" s="15" t="n">
        <f aca="false">J7/M_dot</f>
        <v>-65.0311111111114</v>
      </c>
      <c r="N7" s="15" t="n">
        <f aca="false">-dz/2</f>
        <v>-0.09145</v>
      </c>
      <c r="O7" s="15" t="n">
        <v>0</v>
      </c>
      <c r="P7" s="15" t="n">
        <v>0</v>
      </c>
      <c r="Q7" s="15" t="n">
        <v>0</v>
      </c>
    </row>
    <row r="8" customFormat="false" ht="12.8" hidden="false" customHeight="false" outlineLevel="0" collapsed="false">
      <c r="A8" s="15"/>
      <c r="B8" s="15" t="n">
        <v>555.280645551927</v>
      </c>
      <c r="C8" s="15" t="n">
        <v>555.280396116218</v>
      </c>
      <c r="D8" s="15" t="n">
        <v>555.280697259209</v>
      </c>
      <c r="E8" s="15" t="n">
        <f aca="false">B8*t_btu_kw/t_lbm_kg</f>
        <v>1291.58124553818</v>
      </c>
      <c r="F8" s="15" t="n">
        <f aca="false">C8*t_btu_kw/t_lbm_kg</f>
        <v>1291.58066535142</v>
      </c>
      <c r="G8" s="15" t="n">
        <f aca="false">D8*t_btu_kw/t_lbm_kg</f>
        <v>1291.58136580918</v>
      </c>
      <c r="H8" s="15" t="n">
        <f aca="false">E8-E$15</f>
        <v>-17.069510794912</v>
      </c>
      <c r="I8" s="15" t="n">
        <f aca="false">F8-F$15</f>
        <v>-17.064513386762</v>
      </c>
      <c r="J8" s="15" t="n">
        <f aca="false">G8-G$15</f>
        <v>-17.070666666667</v>
      </c>
      <c r="K8" s="15" t="n">
        <f aca="false">H8*M_dot</f>
        <v>-5.12085323847362</v>
      </c>
      <c r="L8" s="15" t="n">
        <f aca="false">I8*M_dot</f>
        <v>-5.11935401602859</v>
      </c>
      <c r="M8" s="15" t="n">
        <f aca="false">J8*M_dot</f>
        <v>-5.12120000000009</v>
      </c>
      <c r="N8" s="15" t="n">
        <f aca="false">N7+dz</f>
        <v>0.09145</v>
      </c>
      <c r="O8" s="15" t="n">
        <f aca="false">(K8-K7)/dz</f>
        <v>327.534193895423</v>
      </c>
      <c r="P8" s="15" t="n">
        <f aca="false">(L8-L7)/dz</f>
        <v>327.440739764095</v>
      </c>
      <c r="Q8" s="15" t="n">
        <f aca="false">(M8-M7)/dz</f>
        <v>327.555555555556</v>
      </c>
    </row>
    <row r="9" customFormat="false" ht="12.8" hidden="false" customHeight="false" outlineLevel="0" collapsed="false">
      <c r="A9" s="15"/>
      <c r="B9" s="15" t="n">
        <v>556.329027992003</v>
      </c>
      <c r="C9" s="15" t="n">
        <v>556.328513782593</v>
      </c>
      <c r="D9" s="15" t="n">
        <v>556.329136453902</v>
      </c>
      <c r="E9" s="15" t="n">
        <f aca="false">B9*t_btu_kw/t_lbm_kg</f>
        <v>1294.01978019377</v>
      </c>
      <c r="F9" s="15" t="n">
        <f aca="false">C9*t_btu_kw/t_lbm_kg</f>
        <v>1294.0185841441</v>
      </c>
      <c r="G9" s="15" t="n">
        <f aca="false">D9*t_btu_kw/t_lbm_kg</f>
        <v>1294.02003247585</v>
      </c>
      <c r="H9" s="15" t="n">
        <f aca="false">E9-E$15</f>
        <v>-14.6309761393275</v>
      </c>
      <c r="I9" s="15" t="n">
        <f aca="false">F9-F$15</f>
        <v>-14.6265945940736</v>
      </c>
      <c r="J9" s="15" t="n">
        <f aca="false">G9-G$15</f>
        <v>-14.6320000000001</v>
      </c>
      <c r="K9" s="15" t="n">
        <f aca="false">H9*M_dot</f>
        <v>-4.38929284179824</v>
      </c>
      <c r="L9" s="15" t="n">
        <f aca="false">I9*M_dot</f>
        <v>-4.38797837822208</v>
      </c>
      <c r="M9" s="15" t="n">
        <f aca="false">J9*M_dot</f>
        <v>-4.38960000000002</v>
      </c>
      <c r="N9" s="15" t="n">
        <f aca="false">N8+dz</f>
        <v>0.27435</v>
      </c>
      <c r="O9" s="15" t="n">
        <f aca="false">(K9-K8)/dz</f>
        <v>3.99978347006767</v>
      </c>
      <c r="P9" s="15" t="n">
        <f aca="false">(L9-L8)/dz</f>
        <v>3.9987733067606</v>
      </c>
      <c r="Q9" s="15" t="n">
        <f aca="false">(M9-M8)/dz</f>
        <v>4.00000000000039</v>
      </c>
    </row>
    <row r="10" customFormat="false" ht="12.8" hidden="false" customHeight="false" outlineLevel="0" collapsed="false">
      <c r="A10" s="15"/>
      <c r="B10" s="15" t="n">
        <v>557.377405997354</v>
      </c>
      <c r="C10" s="15" t="n">
        <v>557.376613534176</v>
      </c>
      <c r="D10" s="15" t="n">
        <v>557.377575648595</v>
      </c>
      <c r="E10" s="15" t="n">
        <f aca="false">B10*t_btu_kw/t_lbm_kg</f>
        <v>1296.4583045342</v>
      </c>
      <c r="F10" s="15" t="n">
        <f aca="false">C10*t_btu_kw/t_lbm_kg</f>
        <v>1296.45646126704</v>
      </c>
      <c r="G10" s="15" t="n">
        <f aca="false">D10*t_btu_kw/t_lbm_kg</f>
        <v>1296.45869914251</v>
      </c>
      <c r="H10" s="15" t="n">
        <f aca="false">E10-E$15</f>
        <v>-12.1924517989014</v>
      </c>
      <c r="I10" s="15" t="n">
        <f aca="false">F10-F$15</f>
        <v>-12.1887174711417</v>
      </c>
      <c r="J10" s="15" t="n">
        <f aca="false">G10-G$15</f>
        <v>-12.1933333333334</v>
      </c>
      <c r="K10" s="15" t="n">
        <f aca="false">H10*M_dot</f>
        <v>-3.65773553967042</v>
      </c>
      <c r="L10" s="15" t="n">
        <f aca="false">I10*M_dot</f>
        <v>-3.6566152413425</v>
      </c>
      <c r="M10" s="15" t="n">
        <f aca="false">J10*M_dot</f>
        <v>-3.65800000000002</v>
      </c>
      <c r="N10" s="15" t="n">
        <f aca="false">N9+dz</f>
        <v>0.45725</v>
      </c>
      <c r="O10" s="15" t="n">
        <f aca="false">(K10-K9)/dz</f>
        <v>3.99976655072618</v>
      </c>
      <c r="P10" s="15" t="n">
        <f aca="false">(L10-L9)/dz</f>
        <v>3.99870495833558</v>
      </c>
      <c r="Q10" s="15" t="n">
        <f aca="false">(M10-M9)/dz</f>
        <v>4.00000000000002</v>
      </c>
    </row>
    <row r="11" customFormat="false" ht="12.8" hidden="false" customHeight="false" outlineLevel="0" collapsed="false">
      <c r="A11" s="15"/>
      <c r="B11" s="15" t="n">
        <v>558.425779356672</v>
      </c>
      <c r="C11" s="15" t="n">
        <v>558.424694747891</v>
      </c>
      <c r="D11" s="15" t="n">
        <v>558.426014843288</v>
      </c>
      <c r="E11" s="15" t="n">
        <f aca="false">B11*t_btu_kw/t_lbm_kg</f>
        <v>1298.89681806796</v>
      </c>
      <c r="F11" s="15" t="n">
        <f aca="false">C11*t_btu_kw/t_lbm_kg</f>
        <v>1298.89429527094</v>
      </c>
      <c r="G11" s="15" t="n">
        <f aca="false">D11*t_btu_kw/t_lbm_kg</f>
        <v>1298.89736580918</v>
      </c>
      <c r="H11" s="15" t="n">
        <f aca="false">E11-E$15</f>
        <v>-9.75393826513459</v>
      </c>
      <c r="I11" s="15" t="n">
        <f aca="false">F11-F$15</f>
        <v>-9.75088346723965</v>
      </c>
      <c r="J11" s="15" t="n">
        <f aca="false">G11-G$15</f>
        <v>-9.75466666666671</v>
      </c>
      <c r="K11" s="15" t="n">
        <f aca="false">H11*M_dot</f>
        <v>-2.92618147954038</v>
      </c>
      <c r="L11" s="15" t="n">
        <f aca="false">I11*M_dot</f>
        <v>-2.92526504017189</v>
      </c>
      <c r="M11" s="15" t="n">
        <f aca="false">J11*M_dot</f>
        <v>-2.92640000000001</v>
      </c>
      <c r="N11" s="15" t="n">
        <f aca="false">N10+dz</f>
        <v>0.64015</v>
      </c>
      <c r="O11" s="15" t="n">
        <f aca="false">(K11-K10)/dz</f>
        <v>3.99974882520526</v>
      </c>
      <c r="P11" s="15" t="n">
        <f aca="false">(L11-L10)/dz</f>
        <v>3.99863423275346</v>
      </c>
      <c r="Q11" s="15" t="n">
        <f aca="false">(M11-M10)/dz</f>
        <v>4.00000000000002</v>
      </c>
    </row>
    <row r="12" customFormat="false" ht="12.8" hidden="false" customHeight="false" outlineLevel="0" collapsed="false">
      <c r="A12" s="15"/>
      <c r="B12" s="15" t="n">
        <v>559.474147851442</v>
      </c>
      <c r="C12" s="15" t="n">
        <v>559.472756785722</v>
      </c>
      <c r="D12" s="15" t="n">
        <v>559.474454037981</v>
      </c>
      <c r="E12" s="15" t="n">
        <f aca="false">B12*t_btu_kw/t_lbm_kg</f>
        <v>1301.3353202868</v>
      </c>
      <c r="F12" s="15" t="n">
        <f aca="false">C12*t_btu_kw/t_lbm_kg</f>
        <v>1301.33208467179</v>
      </c>
      <c r="G12" s="15" t="n">
        <f aca="false">D12*t_btu_kw/t_lbm_kg</f>
        <v>1301.33603247585</v>
      </c>
      <c r="H12" s="15" t="n">
        <f aca="false">E12-E$15</f>
        <v>-7.31543604629337</v>
      </c>
      <c r="I12" s="15" t="n">
        <f aca="false">F12-F$15</f>
        <v>-7.31309406639048</v>
      </c>
      <c r="J12" s="15" t="n">
        <f aca="false">G12-G$15</f>
        <v>-7.31600000000026</v>
      </c>
      <c r="K12" s="15" t="n">
        <f aca="false">H12*M_dot</f>
        <v>-2.19463081388801</v>
      </c>
      <c r="L12" s="15" t="n">
        <f aca="false">I12*M_dot</f>
        <v>-2.19392821991714</v>
      </c>
      <c r="M12" s="15" t="n">
        <f aca="false">J12*M_dot</f>
        <v>-2.19480000000008</v>
      </c>
      <c r="N12" s="15" t="n">
        <f aca="false">N11+dz</f>
        <v>0.82305</v>
      </c>
      <c r="O12" s="15" t="n">
        <f aca="false">(K12-K11)/dz</f>
        <v>3.99973026600528</v>
      </c>
      <c r="P12" s="15" t="n">
        <f aca="false">(L12-L11)/dz</f>
        <v>3.99856107301668</v>
      </c>
      <c r="Q12" s="15" t="n">
        <f aca="false">(M12-M11)/dz</f>
        <v>3.99999999999964</v>
      </c>
    </row>
    <row r="13" customFormat="false" ht="12.8" hidden="false" customHeight="false" outlineLevel="0" collapsed="false">
      <c r="A13" s="15"/>
      <c r="B13" s="15" t="n">
        <v>560.522511533351</v>
      </c>
      <c r="C13" s="15" t="n">
        <v>560.520799921414</v>
      </c>
      <c r="D13" s="15" t="n">
        <v>560.522893232674</v>
      </c>
      <c r="E13" s="15" t="n">
        <f aca="false">B13*t_btu_kw/t_lbm_kg</f>
        <v>1303.77381131094</v>
      </c>
      <c r="F13" s="15" t="n">
        <f aca="false">C13*t_btu_kw/t_lbm_kg</f>
        <v>1303.76983010631</v>
      </c>
      <c r="G13" s="15" t="n">
        <f aca="false">D13*t_btu_kw/t_lbm_kg</f>
        <v>1303.77469914251</v>
      </c>
      <c r="H13" s="15" t="n">
        <f aca="false">E13-E$15</f>
        <v>-4.87694502215322</v>
      </c>
      <c r="I13" s="15" t="n">
        <f aca="false">F13-F$15</f>
        <v>-4.87534863186465</v>
      </c>
      <c r="J13" s="15" t="n">
        <f aca="false">G13-G$15</f>
        <v>-4.87733333333335</v>
      </c>
      <c r="K13" s="15" t="n">
        <f aca="false">H13*M_dot</f>
        <v>-1.46308350664597</v>
      </c>
      <c r="L13" s="15" t="n">
        <f aca="false">I13*M_dot</f>
        <v>-1.4626045895594</v>
      </c>
      <c r="M13" s="15" t="n">
        <f aca="false">J13*M_dot</f>
        <v>-1.46320000000001</v>
      </c>
      <c r="N13" s="15" t="n">
        <f aca="false">N12+dz</f>
        <v>1.00595</v>
      </c>
      <c r="O13" s="15" t="n">
        <f aca="false">(K13-K12)/dz</f>
        <v>3.99971190400243</v>
      </c>
      <c r="P13" s="15" t="n">
        <f aca="false">(L13-L12)/dz</f>
        <v>3.99848895766947</v>
      </c>
      <c r="Q13" s="15" t="n">
        <f aca="false">(M13-M12)/dz</f>
        <v>4.00000000000039</v>
      </c>
    </row>
    <row r="14" customFormat="false" ht="12.8" hidden="false" customHeight="false" outlineLevel="0" collapsed="false">
      <c r="A14" s="15"/>
      <c r="B14" s="15" t="n">
        <v>561.570869992048</v>
      </c>
      <c r="C14" s="15" t="n">
        <v>561.568822917693</v>
      </c>
      <c r="D14" s="15" t="n">
        <v>561.571332427367</v>
      </c>
      <c r="E14" s="15" t="n">
        <f aca="false">B14*t_btu_kw/t_lbm_kg</f>
        <v>1306.21229018591</v>
      </c>
      <c r="F14" s="15" t="n">
        <f aca="false">C14*t_btu_kw/t_lbm_kg</f>
        <v>1306.20752869662</v>
      </c>
      <c r="G14" s="15" t="n">
        <f aca="false">D14*t_btu_kw/t_lbm_kg</f>
        <v>1306.21336580918</v>
      </c>
      <c r="H14" s="15" t="n">
        <f aca="false">E14-E$15</f>
        <v>-2.43846614719018</v>
      </c>
      <c r="I14" s="15" t="n">
        <f aca="false">F14-F$15</f>
        <v>-2.43765004155784</v>
      </c>
      <c r="J14" s="15" t="n">
        <f aca="false">G14-G$15</f>
        <v>-2.43866666666668</v>
      </c>
      <c r="K14" s="15" t="n">
        <f aca="false">H14*M_dot</f>
        <v>-0.731539844157055</v>
      </c>
      <c r="L14" s="15" t="n">
        <f aca="false">I14*M_dot</f>
        <v>-0.731295012467353</v>
      </c>
      <c r="M14" s="15" t="n">
        <f aca="false">J14*M_dot</f>
        <v>-0.731600000000003</v>
      </c>
      <c r="N14" s="15" t="n">
        <f aca="false">N13+dz</f>
        <v>1.18885</v>
      </c>
      <c r="O14" s="15" t="n">
        <f aca="false">(K14-K13)/dz</f>
        <v>3.99969197642926</v>
      </c>
      <c r="P14" s="15" t="n">
        <f aca="false">(L14-L13)/dz</f>
        <v>3.99841212188104</v>
      </c>
      <c r="Q14" s="15" t="n">
        <f aca="false">(M14-M13)/dz</f>
        <v>4.00000000000002</v>
      </c>
    </row>
    <row r="15" customFormat="false" ht="12.8" hidden="false" customHeight="false" outlineLevel="0" collapsed="false">
      <c r="A15" s="15"/>
      <c r="B15" s="15" t="n">
        <v>562.619222978781</v>
      </c>
      <c r="C15" s="15" t="n">
        <v>562.616825041742</v>
      </c>
      <c r="D15" s="15" t="n">
        <v>562.61977162206</v>
      </c>
      <c r="E15" s="15" t="n">
        <f aca="false">B15*t_btu_kw/t_lbm_kg</f>
        <v>1308.6507563331</v>
      </c>
      <c r="F15" s="15" t="n">
        <f aca="false">C15*t_btu_kw/t_lbm_kg</f>
        <v>1308.64517873818</v>
      </c>
      <c r="G15" s="15" t="n">
        <f aca="false">D15*t_btu_kw/t_lbm_kg</f>
        <v>1308.65203247585</v>
      </c>
      <c r="H15" s="15" t="n">
        <f aca="false">E15-E$15</f>
        <v>0</v>
      </c>
      <c r="I15" s="15" t="n">
        <f aca="false">F15-F$15</f>
        <v>0</v>
      </c>
      <c r="J15" s="15" t="n">
        <f aca="false">G15-G$15</f>
        <v>0</v>
      </c>
      <c r="K15" s="15" t="n">
        <f aca="false">H15*M_dot</f>
        <v>0</v>
      </c>
      <c r="L15" s="15" t="n">
        <f aca="false">I15*M_dot</f>
        <v>0</v>
      </c>
      <c r="M15" s="15" t="n">
        <f aca="false">J15*M_dot</f>
        <v>0</v>
      </c>
      <c r="N15" s="15" t="n">
        <f aca="false">N14+dz</f>
        <v>1.37175</v>
      </c>
      <c r="O15" s="15" t="n">
        <f aca="false">(K15-K14)/dz</f>
        <v>3.99967109981988</v>
      </c>
      <c r="P15" s="15" t="n">
        <f aca="false">(L15-L14)/dz</f>
        <v>3.99833249025344</v>
      </c>
      <c r="Q15" s="15" t="n">
        <f aca="false">(M15-M14)/dz</f>
        <v>4.00000000000002</v>
      </c>
    </row>
    <row r="16" customFormat="false" ht="12.8" hidden="false" customHeight="false" outlineLevel="0" collapsed="false">
      <c r="A16" s="15"/>
      <c r="B16" s="15" t="n">
        <v>563.667570247233</v>
      </c>
      <c r="C16" s="15" t="n">
        <v>563.664805602545</v>
      </c>
      <c r="D16" s="15" t="n">
        <v>563.668210816753</v>
      </c>
      <c r="E16" s="15" t="n">
        <f aca="false">B16*t_btu_kw/t_lbm_kg</f>
        <v>1311.08920917958</v>
      </c>
      <c r="F16" s="15" t="n">
        <f aca="false">C16*t_btu_kw/t_lbm_kg</f>
        <v>1311.08277862368</v>
      </c>
      <c r="G16" s="15" t="n">
        <f aca="false">D16*t_btu_kw/t_lbm_kg</f>
        <v>1311.09069914251</v>
      </c>
      <c r="H16" s="15" t="n">
        <f aca="false">E16-E$15</f>
        <v>2.43845284648455</v>
      </c>
      <c r="I16" s="15" t="n">
        <f aca="false">F16-F$15</f>
        <v>2.43759988550732</v>
      </c>
      <c r="J16" s="15" t="n">
        <f aca="false">G16-G$15</f>
        <v>2.43866666666645</v>
      </c>
      <c r="K16" s="15" t="n">
        <f aca="false">H16*M_dot</f>
        <v>0.731535853945366</v>
      </c>
      <c r="L16" s="15" t="n">
        <f aca="false">I16*M_dot</f>
        <v>0.731279965652198</v>
      </c>
      <c r="M16" s="15" t="n">
        <f aca="false">J16*M_dot</f>
        <v>0.731599999999935</v>
      </c>
      <c r="N16" s="15" t="n">
        <f aca="false">N15+dz</f>
        <v>1.55465</v>
      </c>
      <c r="O16" s="15" t="n">
        <f aca="false">(K16-K15)/dz</f>
        <v>3.99964928346291</v>
      </c>
      <c r="P16" s="15" t="n">
        <f aca="false">(L16-L15)/dz</f>
        <v>3.99825022226461</v>
      </c>
      <c r="Q16" s="15" t="n">
        <f aca="false">(M16-M15)/dz</f>
        <v>3.99999999999964</v>
      </c>
    </row>
    <row r="17" customFormat="false" ht="12.8" hidden="false" customHeight="false" outlineLevel="0" collapsed="false">
      <c r="A17" s="15"/>
      <c r="B17" s="15" t="n">
        <v>564.715911545095</v>
      </c>
      <c r="C17" s="15" t="n">
        <v>564.712763881392</v>
      </c>
      <c r="D17" s="15" t="n">
        <v>564.716650011446</v>
      </c>
      <c r="E17" s="15" t="n">
        <f aca="false">B17*t_btu_kw/t_lbm_kg</f>
        <v>1313.52764813849</v>
      </c>
      <c r="F17" s="15" t="n">
        <f aca="false">C17*t_btu_kw/t_lbm_kg</f>
        <v>1313.52032668142</v>
      </c>
      <c r="G17" s="15" t="n">
        <f aca="false">D17*t_btu_kw/t_lbm_kg</f>
        <v>1313.52936580918</v>
      </c>
      <c r="H17" s="15" t="n">
        <f aca="false">E17-E$15</f>
        <v>4.87689180539292</v>
      </c>
      <c r="I17" s="15" t="n">
        <f aca="false">F17-F$15</f>
        <v>4.87514794324648</v>
      </c>
      <c r="J17" s="15" t="n">
        <f aca="false">G17-G$15</f>
        <v>4.87733333333313</v>
      </c>
      <c r="K17" s="15" t="n">
        <f aca="false">H17*M_dot</f>
        <v>1.46306754161787</v>
      </c>
      <c r="L17" s="15" t="n">
        <f aca="false">I17*M_dot</f>
        <v>1.46254438297394</v>
      </c>
      <c r="M17" s="15" t="n">
        <f aca="false">J17*M_dot</f>
        <v>1.46319999999994</v>
      </c>
      <c r="N17" s="15" t="n">
        <f aca="false">N16+dz</f>
        <v>1.73755</v>
      </c>
      <c r="O17" s="15" t="n">
        <f aca="false">(K17-K16)/dz</f>
        <v>3.99962650449704</v>
      </c>
      <c r="P17" s="15" t="n">
        <f aca="false">(L17-L16)/dz</f>
        <v>3.99816521225667</v>
      </c>
      <c r="Q17" s="15" t="n">
        <f aca="false">(M17-M16)/dz</f>
        <v>4.00000000000002</v>
      </c>
    </row>
    <row r="18" customFormat="false" ht="12.8" hidden="false" customHeight="false" outlineLevel="0" collapsed="false">
      <c r="A18" s="15"/>
      <c r="B18" s="15" t="n">
        <v>565.764246612647</v>
      </c>
      <c r="C18" s="15" t="n">
        <v>565.760699161199</v>
      </c>
      <c r="D18" s="15" t="n">
        <v>565.765089206139</v>
      </c>
      <c r="E18" s="15" t="n">
        <f aca="false">B18*t_btu_kw/t_lbm_kg</f>
        <v>1315.96607260571</v>
      </c>
      <c r="F18" s="15" t="n">
        <f aca="false">C18*t_btu_kw/t_lbm_kg</f>
        <v>1315.95782124346</v>
      </c>
      <c r="G18" s="15" t="n">
        <f aca="false">D18*t_btu_kw/t_lbm_kg</f>
        <v>1315.96803247585</v>
      </c>
      <c r="H18" s="15" t="n">
        <f aca="false">E18-E$15</f>
        <v>7.31531627261757</v>
      </c>
      <c r="I18" s="15" t="n">
        <f aca="false">F18-F$15</f>
        <v>7.31264250528216</v>
      </c>
      <c r="J18" s="15" t="n">
        <f aca="false">G18-G$15</f>
        <v>7.31600000000003</v>
      </c>
      <c r="K18" s="15" t="n">
        <f aca="false">H18*M_dot</f>
        <v>2.19459488178527</v>
      </c>
      <c r="L18" s="15" t="n">
        <f aca="false">I18*M_dot</f>
        <v>2.19379275158465</v>
      </c>
      <c r="M18" s="15" t="n">
        <f aca="false">J18*M_dot</f>
        <v>2.19480000000001</v>
      </c>
      <c r="N18" s="15" t="n">
        <f aca="false">N17+dz</f>
        <v>1.92045</v>
      </c>
      <c r="O18" s="15" t="n">
        <f aca="false">(K18-K17)/dz</f>
        <v>3.99960273464951</v>
      </c>
      <c r="P18" s="15" t="n">
        <f aca="false">(L18-L17)/dz</f>
        <v>3.99807746643359</v>
      </c>
      <c r="Q18" s="15" t="n">
        <f aca="false">(M18-M17)/dz</f>
        <v>4.00000000000039</v>
      </c>
    </row>
    <row r="19" customFormat="false" ht="12.8" hidden="false" customHeight="false" outlineLevel="0" collapsed="false">
      <c r="A19" s="15"/>
      <c r="B19" s="15" t="n">
        <v>566.812575182201</v>
      </c>
      <c r="C19" s="15" t="n">
        <v>566.808610708764</v>
      </c>
      <c r="D19" s="15" t="n">
        <v>566.813528400832</v>
      </c>
      <c r="E19" s="15" t="n">
        <f aca="false">B19*t_btu_kw/t_lbm_kg</f>
        <v>1318.40448195861</v>
      </c>
      <c r="F19" s="15" t="n">
        <f aca="false">C19*t_btu_kw/t_lbm_kg</f>
        <v>1318.39526060437</v>
      </c>
      <c r="G19" s="15" t="n">
        <f aca="false">D19*t_btu_kw/t_lbm_kg</f>
        <v>1318.40669914251</v>
      </c>
      <c r="H19" s="15" t="n">
        <f aca="false">E19-E$15</f>
        <v>9.75372562551729</v>
      </c>
      <c r="I19" s="15" t="n">
        <f aca="false">F19-F$15</f>
        <v>9.75008186618879</v>
      </c>
      <c r="J19" s="15" t="n">
        <f aca="false">G19-G$15</f>
        <v>9.75466666666648</v>
      </c>
      <c r="K19" s="15" t="n">
        <f aca="false">H19*M_dot</f>
        <v>2.92611768765519</v>
      </c>
      <c r="L19" s="15" t="n">
        <f aca="false">I19*M_dot</f>
        <v>2.92502455985664</v>
      </c>
      <c r="M19" s="15" t="n">
        <f aca="false">J19*M_dot</f>
        <v>2.92639999999994</v>
      </c>
      <c r="N19" s="15" t="n">
        <f aca="false">N18+dz</f>
        <v>2.10335</v>
      </c>
      <c r="O19" s="15" t="n">
        <f aca="false">(K19-K18)/dz</f>
        <v>3.9995779435206</v>
      </c>
      <c r="P19" s="15" t="n">
        <f aca="false">(L19-L18)/dz</f>
        <v>3.9979869233023</v>
      </c>
      <c r="Q19" s="15" t="n">
        <f aca="false">(M19-M18)/dz</f>
        <v>3.99999999999964</v>
      </c>
    </row>
    <row r="20" customFormat="false" ht="12.8" hidden="false" customHeight="false" outlineLevel="0" collapsed="false">
      <c r="A20" s="15"/>
      <c r="B20" s="15" t="n">
        <v>567.86089697778</v>
      </c>
      <c r="C20" s="15" t="n">
        <v>567.856497774545</v>
      </c>
      <c r="D20" s="15" t="n">
        <v>567.861967595526</v>
      </c>
      <c r="E20" s="15" t="n">
        <f aca="false">B20*t_btu_kw/t_lbm_kg</f>
        <v>1320.84287555527</v>
      </c>
      <c r="F20" s="15" t="n">
        <f aca="false">C20*t_btu_kw/t_lbm_kg</f>
        <v>1320.83264302071</v>
      </c>
      <c r="G20" s="15" t="n">
        <f aca="false">D20*t_btu_kw/t_lbm_kg</f>
        <v>1320.84536580918</v>
      </c>
      <c r="H20" s="15" t="n">
        <f aca="false">E20-E$15</f>
        <v>12.1921192221696</v>
      </c>
      <c r="I20" s="15" t="n">
        <f aca="false">F20-F$15</f>
        <v>12.1874642825335</v>
      </c>
      <c r="J20" s="15" t="n">
        <f aca="false">G20-G$15</f>
        <v>12.1933333333357</v>
      </c>
      <c r="K20" s="15" t="n">
        <f aca="false">H20*M_dot</f>
        <v>3.65763576665088</v>
      </c>
      <c r="L20" s="15" t="n">
        <f aca="false">I20*M_dot</f>
        <v>3.65623928476005</v>
      </c>
      <c r="M20" s="15" t="n">
        <f aca="false">J20*M_dot</f>
        <v>3.6580000000007</v>
      </c>
      <c r="N20" s="15" t="n">
        <f aca="false">N19+dz</f>
        <v>2.28625</v>
      </c>
      <c r="O20" s="15" t="n">
        <f aca="false">(K20-K19)/dz</f>
        <v>3.99955209948437</v>
      </c>
      <c r="P20" s="15" t="n">
        <f aca="false">(L20-L19)/dz</f>
        <v>3.99789352052163</v>
      </c>
      <c r="Q20" s="15" t="n">
        <f aca="false">(M20-M19)/dz</f>
        <v>4.00000000000412</v>
      </c>
    </row>
    <row r="21" customFormat="false" ht="12.8" hidden="false" customHeight="false" outlineLevel="0" collapsed="false">
      <c r="A21" s="15"/>
      <c r="B21" s="15" t="n">
        <v>568.909211714852</v>
      </c>
      <c r="C21" s="15" t="n">
        <v>568.904359592431</v>
      </c>
      <c r="D21" s="15" t="n">
        <v>568.910406790218</v>
      </c>
      <c r="E21" s="15" t="n">
        <f aca="false">B21*t_btu_kw/t_lbm_kg</f>
        <v>1323.28125273385</v>
      </c>
      <c r="F21" s="15" t="n">
        <f aca="false">C21*t_btu_kw/t_lbm_kg</f>
        <v>1323.26996671052</v>
      </c>
      <c r="G21" s="15" t="n">
        <f aca="false">D21*t_btu_kw/t_lbm_kg</f>
        <v>1323.28403247585</v>
      </c>
      <c r="H21" s="15" t="n">
        <f aca="false">E21-E$15</f>
        <v>14.6304964007538</v>
      </c>
      <c r="I21" s="15" t="n">
        <f aca="false">F21-F$15</f>
        <v>14.6247879723439</v>
      </c>
      <c r="J21" s="15" t="n">
        <f aca="false">G21-G$15</f>
        <v>14.6319999999998</v>
      </c>
      <c r="K21" s="15" t="n">
        <f aca="false">H21*M_dot</f>
        <v>4.38914892022615</v>
      </c>
      <c r="L21" s="15" t="n">
        <f aca="false">I21*M_dot</f>
        <v>4.38743639170318</v>
      </c>
      <c r="M21" s="15" t="n">
        <f aca="false">J21*M_dot</f>
        <v>4.38959999999995</v>
      </c>
      <c r="N21" s="15" t="n">
        <f aca="false">N20+dz</f>
        <v>2.46915</v>
      </c>
      <c r="O21" s="15" t="n">
        <f aca="false">(K21-K20)/dz</f>
        <v>3.99952516990306</v>
      </c>
      <c r="P21" s="15" t="n">
        <f aca="false">(L21-L20)/dz</f>
        <v>3.99779719487773</v>
      </c>
      <c r="Q21" s="15" t="n">
        <f aca="false">(M21-M20)/dz</f>
        <v>3.99999999999591</v>
      </c>
    </row>
    <row r="22" customFormat="false" ht="12.8" hidden="false" customHeight="false" outlineLevel="0" collapsed="false">
      <c r="A22" s="15"/>
      <c r="B22" s="15" t="n">
        <v>569.957519100104</v>
      </c>
      <c r="C22" s="15" t="n">
        <v>569.952195379514</v>
      </c>
      <c r="D22" s="15" t="n">
        <v>569.958845984911</v>
      </c>
      <c r="E22" s="15" t="n">
        <f aca="false">B22*t_btu_kw/t_lbm_kg</f>
        <v>1325.71961281212</v>
      </c>
      <c r="F22" s="15" t="n">
        <f aca="false">C22*t_btu_kw/t_lbm_kg</f>
        <v>1325.70722985276</v>
      </c>
      <c r="G22" s="15" t="n">
        <f aca="false">D22*t_btu_kw/t_lbm_kg</f>
        <v>1325.72269914251</v>
      </c>
      <c r="H22" s="15" t="n">
        <f aca="false">E22-E$15</f>
        <v>17.0688564790255</v>
      </c>
      <c r="I22" s="15" t="n">
        <f aca="false">F22-F$15</f>
        <v>17.0620511145792</v>
      </c>
      <c r="J22" s="15" t="n">
        <f aca="false">G22-G$15</f>
        <v>17.0706666666667</v>
      </c>
      <c r="K22" s="15" t="n">
        <f aca="false">H22*M_dot</f>
        <v>5.12065694370765</v>
      </c>
      <c r="L22" s="15" t="n">
        <f aca="false">I22*M_dot</f>
        <v>5.11861533437375</v>
      </c>
      <c r="M22" s="15" t="n">
        <f aca="false">J22*M_dot</f>
        <v>5.12120000000002</v>
      </c>
      <c r="N22" s="15" t="n">
        <f aca="false">N21+dz</f>
        <v>2.65205</v>
      </c>
      <c r="O22" s="15" t="n">
        <f aca="false">(K22-K21)/dz</f>
        <v>3.99949712127666</v>
      </c>
      <c r="P22" s="15" t="n">
        <f aca="false">(L22-L21)/dz</f>
        <v>3.9976978822885</v>
      </c>
      <c r="Q22" s="15" t="n">
        <f aca="false">(M22-M21)/dz</f>
        <v>4.00000000000039</v>
      </c>
    </row>
    <row r="23" customFormat="false" ht="12.8" hidden="false" customHeight="false" outlineLevel="0" collapsed="false">
      <c r="A23" s="15"/>
      <c r="B23" s="15" t="n">
        <v>571.005819733738</v>
      </c>
      <c r="C23" s="15" t="n">
        <v>571.000007111948</v>
      </c>
      <c r="D23" s="15" t="n">
        <v>571.007285179605</v>
      </c>
      <c r="E23" s="15" t="n">
        <f aca="false">B23*t_btu_kw/t_lbm_kg</f>
        <v>1328.15795718615</v>
      </c>
      <c r="F23" s="15" t="n">
        <f aca="false">C23*t_btu_kw/t_lbm_kg</f>
        <v>1328.14443704394</v>
      </c>
      <c r="G23" s="15" t="n">
        <f aca="false">D23*t_btu_kw/t_lbm_kg</f>
        <v>1328.16136580918</v>
      </c>
      <c r="H23" s="15" t="n">
        <f aca="false">E23-E$15</f>
        <v>19.5072008530522</v>
      </c>
      <c r="I23" s="15" t="n">
        <f aca="false">F23-F$15</f>
        <v>19.4992583057669</v>
      </c>
      <c r="J23" s="15" t="n">
        <f aca="false">G23-G$15</f>
        <v>19.5093333333355</v>
      </c>
      <c r="K23" s="15" t="n">
        <f aca="false">H23*M_dot</f>
        <v>5.85216025591565</v>
      </c>
      <c r="L23" s="15" t="n">
        <f aca="false">I23*M_dot</f>
        <v>5.84977749173008</v>
      </c>
      <c r="M23" s="15" t="n">
        <f aca="false">J23*M_dot</f>
        <v>5.85280000000064</v>
      </c>
      <c r="N23" s="15" t="n">
        <f aca="false">N22+dz</f>
        <v>2.83495</v>
      </c>
      <c r="O23" s="15" t="n">
        <f aca="false">(K23-K22)/dz</f>
        <v>3.99947136253689</v>
      </c>
      <c r="P23" s="15" t="n">
        <f aca="false">(L23-L22)/dz</f>
        <v>3.99760610911063</v>
      </c>
      <c r="Q23" s="15" t="n">
        <f aca="false">(M23-M22)/dz</f>
        <v>4.00000000000338</v>
      </c>
    </row>
    <row r="24" customFormat="false" ht="12.8" hidden="false" customHeight="false" outlineLevel="0" collapsed="false">
      <c r="A24" s="15"/>
      <c r="B24" s="15" t="n">
        <v>572.054112582758</v>
      </c>
      <c r="C24" s="15" t="n">
        <v>572.047791788881</v>
      </c>
      <c r="D24" s="15" t="n">
        <v>572.055724374297</v>
      </c>
      <c r="E24" s="15" t="n">
        <f aca="false">B24*t_btu_kw/t_lbm_kg</f>
        <v>1330.59628345318</v>
      </c>
      <c r="F24" s="15" t="n">
        <f aca="false">C24*t_btu_kw/t_lbm_kg</f>
        <v>1330.58158130411</v>
      </c>
      <c r="G24" s="15" t="n">
        <f aca="false">D24*t_btu_kw/t_lbm_kg</f>
        <v>1330.60003247585</v>
      </c>
      <c r="H24" s="15" t="n">
        <f aca="false">E24-E$15</f>
        <v>21.9455271200882</v>
      </c>
      <c r="I24" s="15" t="n">
        <f aca="false">F24-F$15</f>
        <v>21.9364025659343</v>
      </c>
      <c r="J24" s="15" t="n">
        <f aca="false">G24-G$15</f>
        <v>21.9480000000001</v>
      </c>
      <c r="K24" s="15" t="n">
        <f aca="false">H24*M_dot</f>
        <v>6.58365813602645</v>
      </c>
      <c r="L24" s="15" t="n">
        <f aca="false">I24*M_dot</f>
        <v>6.58092076978028</v>
      </c>
      <c r="M24" s="15" t="n">
        <f aca="false">J24*M_dot</f>
        <v>6.58440000000003</v>
      </c>
      <c r="N24" s="15" t="n">
        <f aca="false">N23+dz</f>
        <v>3.01785</v>
      </c>
      <c r="O24" s="15" t="n">
        <f aca="false">(K24-K23)/dz</f>
        <v>3.99944166271627</v>
      </c>
      <c r="P24" s="15" t="n">
        <f aca="false">(L24-L23)/dz</f>
        <v>3.99750288709784</v>
      </c>
      <c r="Q24" s="15" t="n">
        <f aca="false">(M24-M23)/dz</f>
        <v>3.99999999999666</v>
      </c>
    </row>
    <row r="25" customFormat="false" ht="12.8" hidden="false" customHeight="false" outlineLevel="0" collapsed="false">
      <c r="A25" s="15"/>
      <c r="B25" s="15" t="n">
        <v>573.102397310069</v>
      </c>
      <c r="C25" s="15" t="n">
        <v>573.095548500538</v>
      </c>
      <c r="D25" s="15" t="n">
        <v>573.104163568991</v>
      </c>
      <c r="E25" s="15" t="n">
        <f aca="false">B25*t_btu_kw/t_lbm_kg</f>
        <v>1333.03459082915</v>
      </c>
      <c r="F25" s="15" t="n">
        <f aca="false">C25*t_btu_kw/t_lbm_kg</f>
        <v>1333.01866051712</v>
      </c>
      <c r="G25" s="15" t="n">
        <f aca="false">D25*t_btu_kw/t_lbm_kg</f>
        <v>1333.03869914252</v>
      </c>
      <c r="H25" s="15" t="n">
        <f aca="false">E25-E$15</f>
        <v>24.3838344960518</v>
      </c>
      <c r="I25" s="15" t="n">
        <f aca="false">F25-F$15</f>
        <v>24.3734817789473</v>
      </c>
      <c r="J25" s="15" t="n">
        <f aca="false">G25-G$15</f>
        <v>24.386666666669</v>
      </c>
      <c r="K25" s="15" t="n">
        <f aca="false">H25*M_dot</f>
        <v>7.31515034881554</v>
      </c>
      <c r="L25" s="15" t="n">
        <f aca="false">I25*M_dot</f>
        <v>7.31204453368419</v>
      </c>
      <c r="M25" s="15" t="n">
        <f aca="false">J25*M_dot</f>
        <v>7.31600000000071</v>
      </c>
      <c r="N25" s="15" t="n">
        <f aca="false">N24+dz</f>
        <v>3.20075</v>
      </c>
      <c r="O25" s="15" t="n">
        <f aca="false">(K25-K24)/dz</f>
        <v>3.99941067681296</v>
      </c>
      <c r="P25" s="15" t="n">
        <f aca="false">(L25-L24)/dz</f>
        <v>3.99739619411649</v>
      </c>
      <c r="Q25" s="15" t="n">
        <f aca="false">(M25-M24)/dz</f>
        <v>4.00000000000375</v>
      </c>
    </row>
    <row r="26" customFormat="false" ht="12.8" hidden="false" customHeight="false" outlineLevel="0" collapsed="false">
      <c r="A26" s="15"/>
      <c r="B26" s="15" t="n">
        <v>574.150673584876</v>
      </c>
      <c r="C26" s="15" t="n">
        <v>574.143276351766</v>
      </c>
      <c r="D26" s="15" t="n">
        <v>574.152602763684</v>
      </c>
      <c r="E26" s="15" t="n">
        <f aca="false">B26*t_btu_kw/t_lbm_kg</f>
        <v>1335.47287854461</v>
      </c>
      <c r="F26" s="15" t="n">
        <f aca="false">C26*t_btu_kw/t_lbm_kg</f>
        <v>1335.45567260086</v>
      </c>
      <c r="G26" s="15" t="n">
        <f aca="false">D26*t_btu_kw/t_lbm_kg</f>
        <v>1335.47736580918</v>
      </c>
      <c r="H26" s="15" t="n">
        <f aca="false">E26-E$15</f>
        <v>26.8221222115144</v>
      </c>
      <c r="I26" s="15" t="n">
        <f aca="false">F26-F$15</f>
        <v>26.8104938626818</v>
      </c>
      <c r="J26" s="15" t="n">
        <f aca="false">G26-G$15</f>
        <v>26.8253333333355</v>
      </c>
      <c r="K26" s="15" t="n">
        <f aca="false">H26*M_dot</f>
        <v>8.04663666345432</v>
      </c>
      <c r="L26" s="15" t="n">
        <f aca="false">I26*M_dot</f>
        <v>8.04314815880455</v>
      </c>
      <c r="M26" s="15" t="n">
        <f aca="false">J26*M_dot</f>
        <v>8.04760000000065</v>
      </c>
      <c r="N26" s="15" t="n">
        <f aca="false">N25+dz</f>
        <v>3.38365</v>
      </c>
      <c r="O26" s="15" t="n">
        <f aca="false">(K26-K25)/dz</f>
        <v>3.99937842886155</v>
      </c>
      <c r="P26" s="15" t="n">
        <f aca="false">(L26-L25)/dz</f>
        <v>3.99728608595059</v>
      </c>
      <c r="Q26" s="15" t="n">
        <f aca="false">(M26-M25)/dz</f>
        <v>3.99999999999965</v>
      </c>
    </row>
    <row r="27" customFormat="false" ht="12.8" hidden="false" customHeight="false" outlineLevel="0" collapsed="false">
      <c r="A27" s="15"/>
      <c r="B27" s="15" t="n">
        <v>575.198941071204</v>
      </c>
      <c r="C27" s="15" t="n">
        <v>575.190974492013</v>
      </c>
      <c r="D27" s="15" t="n">
        <v>575.201041958377</v>
      </c>
      <c r="E27" s="15" t="n">
        <f aca="false">B27*t_btu_kw/t_lbm_kg</f>
        <v>1337.9111458181</v>
      </c>
      <c r="F27" s="15" t="n">
        <f aca="false">C27*t_btu_kw/t_lbm_kg</f>
        <v>1337.89261557693</v>
      </c>
      <c r="G27" s="15" t="n">
        <f aca="false">D27*t_btu_kw/t_lbm_kg</f>
        <v>1337.91603247585</v>
      </c>
      <c r="H27" s="15" t="n">
        <f aca="false">E27-E$15</f>
        <v>29.2603894849988</v>
      </c>
      <c r="I27" s="15" t="n">
        <f aca="false">F27-F$15</f>
        <v>29.2474368387573</v>
      </c>
      <c r="J27" s="15" t="n">
        <f aca="false">G27-G$15</f>
        <v>29.2640000000024</v>
      </c>
      <c r="K27" s="15" t="n">
        <f aca="false">H27*M_dot</f>
        <v>8.77811684549963</v>
      </c>
      <c r="L27" s="15" t="n">
        <f aca="false">I27*M_dot</f>
        <v>8.77423105162718</v>
      </c>
      <c r="M27" s="15" t="n">
        <f aca="false">J27*M_dot</f>
        <v>8.77920000000072</v>
      </c>
      <c r="N27" s="15" t="n">
        <f aca="false">N26+dz</f>
        <v>3.56655</v>
      </c>
      <c r="O27" s="15" t="n">
        <f aca="false">(K27-K26)/dz</f>
        <v>3.99934489909957</v>
      </c>
      <c r="P27" s="15" t="n">
        <f aca="false">(L27-L26)/dz</f>
        <v>3.99717273276453</v>
      </c>
      <c r="Q27" s="15" t="n">
        <f aca="false">(M27-M26)/dz</f>
        <v>4.00000000000039</v>
      </c>
    </row>
    <row r="28" customFormat="false" ht="12.8" hidden="false" customHeight="false" outlineLevel="0" collapsed="false">
      <c r="A28" s="15"/>
      <c r="B28" s="15" t="n">
        <v>575.198941071204</v>
      </c>
      <c r="C28" s="15" t="n">
        <v>575.190974492013</v>
      </c>
      <c r="D28" s="15" t="n">
        <v>575.201041958377</v>
      </c>
      <c r="E28" s="15" t="n">
        <f aca="false">B28*t_btu_kw/t_lbm_kg</f>
        <v>1337.9111458181</v>
      </c>
      <c r="F28" s="15" t="n">
        <f aca="false">C28*t_btu_kw/t_lbm_kg</f>
        <v>1337.89261557693</v>
      </c>
      <c r="G28" s="15" t="n">
        <f aca="false">D28*t_btu_kw/t_lbm_kg</f>
        <v>1337.91603247585</v>
      </c>
      <c r="H28" s="15" t="n">
        <f aca="false">E28-E$15</f>
        <v>29.2603894849988</v>
      </c>
      <c r="I28" s="15" t="n">
        <f aca="false">F28-F$15</f>
        <v>29.2474368387573</v>
      </c>
      <c r="J28" s="15" t="n">
        <f aca="false">G28-G$15</f>
        <v>29.2640000000024</v>
      </c>
      <c r="K28" s="15" t="n">
        <f aca="false">H28*M_dot</f>
        <v>8.77811684549963</v>
      </c>
      <c r="L28" s="15" t="n">
        <f aca="false">I28*M_dot</f>
        <v>8.77423105162718</v>
      </c>
      <c r="M28" s="15" t="n">
        <f aca="false">J28*M_dot</f>
        <v>8.77920000000072</v>
      </c>
      <c r="N28" s="15" t="n">
        <f aca="false">N27+dz/2</f>
        <v>3.658</v>
      </c>
      <c r="O28" s="15" t="n">
        <f aca="false">(K28-K27)/dz</f>
        <v>0</v>
      </c>
      <c r="P28" s="15" t="n">
        <f aca="false">(L28-L27)/dz</f>
        <v>0</v>
      </c>
      <c r="Q28" s="15" t="n">
        <f aca="false">(M28-M27)/dz</f>
        <v>0</v>
      </c>
    </row>
    <row r="29" customFormat="false" ht="12.8" hidden="false" customHeight="false" outlineLevel="0" collapsed="false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</row>
    <row r="30" customFormat="false" ht="12.8" hidden="false" customHeight="false" outlineLevel="0" collapsed="false">
      <c r="A30" s="15" t="s">
        <v>112</v>
      </c>
      <c r="B30" s="15" t="n">
        <f aca="false">(B28-B6)*t_btu_kw/t_lbm_kg*M_dot/L_chan</f>
        <v>3.99959923528563</v>
      </c>
      <c r="C30" s="15" t="n">
        <f aca="false">(C28-C6)*t_btu_kw/t_lbm_kg*M_dot/L_chan</f>
        <v>3.99807953262069</v>
      </c>
      <c r="D30" s="15" t="n">
        <f aca="false">(D28-D6)*t_btu_kw/t_lbm_kg*M_dot/L_chan</f>
        <v>4.0000000000002</v>
      </c>
      <c r="E30" s="15" t="n">
        <f aca="false">(E28-E6)*M_dot/L_chan</f>
        <v>3.99959923528562</v>
      </c>
      <c r="F30" s="15" t="n">
        <f aca="false">(F28-F6)*M_dot/L_chan</f>
        <v>3.9980795326207</v>
      </c>
      <c r="G30" s="15" t="n">
        <f aca="false">(G28-G6)*M_dot/L_chan</f>
        <v>4.0000000000002</v>
      </c>
      <c r="H30" s="15" t="n">
        <f aca="false">H28*M_dot/L_chan</f>
        <v>2.39970389434107</v>
      </c>
      <c r="I30" s="15" t="n">
        <f aca="false">I28*M_dot/L_chan</f>
        <v>2.39864162154926</v>
      </c>
      <c r="J30" s="15" t="n">
        <f aca="false">J28*M_dot/L_chan</f>
        <v>2.4000000000002</v>
      </c>
      <c r="K30" s="15" t="n">
        <f aca="false">K28/L_chan</f>
        <v>2.39970389434107</v>
      </c>
      <c r="L30" s="15" t="n">
        <f aca="false">L28/L_chan</f>
        <v>2.39864162154926</v>
      </c>
      <c r="M30" s="15" t="n">
        <f aca="false">M28/L_chan</f>
        <v>2.4000000000002</v>
      </c>
      <c r="N30" s="15"/>
      <c r="O30" s="15"/>
      <c r="P30" s="15"/>
      <c r="Q30" s="15"/>
    </row>
    <row r="31" customFormat="false" ht="12.8" hidden="false" customHeight="false" outlineLevel="0" collapsed="false">
      <c r="B31" s="1"/>
      <c r="C31" s="5"/>
      <c r="D31" s="16"/>
      <c r="E31" s="5"/>
      <c r="F31" s="17"/>
    </row>
    <row r="32" customFormat="false" ht="12.8" hidden="false" customHeight="false" outlineLevel="0" collapsed="false">
      <c r="B32" s="1"/>
      <c r="C32" s="5"/>
      <c r="D32" s="16"/>
      <c r="E32" s="5"/>
      <c r="F32" s="17"/>
    </row>
    <row r="33" customFormat="false" ht="12.8" hidden="false" customHeight="false" outlineLevel="0" collapsed="false">
      <c r="B33" s="1"/>
      <c r="C33" s="5"/>
      <c r="D33" s="16"/>
      <c r="E33" s="5"/>
      <c r="F33" s="17"/>
    </row>
    <row r="34" customFormat="false" ht="12.8" hidden="false" customHeight="false" outlineLevel="0" collapsed="false">
      <c r="C34" s="4" t="s">
        <v>113</v>
      </c>
    </row>
    <row r="35" customFormat="false" ht="12.8" hidden="false" customHeight="false" outlineLevel="0" collapsed="false">
      <c r="B35" s="0" t="s">
        <v>114</v>
      </c>
      <c r="D35" s="10" t="n">
        <f aca="false">D36</f>
        <v>0.000487298838370701</v>
      </c>
      <c r="E35" s="10" t="n">
        <f aca="false">E36</f>
        <v>0.00108963332795357</v>
      </c>
      <c r="F35" s="0" t="n">
        <f aca="false">F36-E36</f>
        <v>0.00066734762026603</v>
      </c>
      <c r="G35" s="0" t="n">
        <f aca="false">G36-F36</f>
        <v>0.0006795132436339</v>
      </c>
      <c r="H35" s="0" t="n">
        <f aca="false">H36-G36</f>
        <v>0.00068374081099081</v>
      </c>
      <c r="I35" s="0" t="n">
        <f aca="false">I36-H36</f>
        <v>0.00068569059161015</v>
      </c>
      <c r="J35" s="0" t="n">
        <f aca="false">J36-I36</f>
        <v>0.0006867477098914</v>
      </c>
      <c r="K35" s="0" t="n">
        <f aca="false">K36-J36</f>
        <v>0.00068738440191091</v>
      </c>
      <c r="L35" s="0" t="n">
        <f aca="false">L36-K36</f>
        <v>0.00068779734411965</v>
      </c>
      <c r="M35" s="0" t="n">
        <f aca="false">M36-L36</f>
        <v>0.00068808031963873</v>
      </c>
      <c r="N35" s="0" t="n">
        <f aca="false">N36-M36</f>
        <v>0.00068828266169214</v>
      </c>
      <c r="O35" s="0" t="n">
        <f aca="false">O36-N36</f>
        <v>0.000688432334817139</v>
      </c>
      <c r="P35" s="0" t="n">
        <f aca="false">P36-O36</f>
        <v>0.000688546152267901</v>
      </c>
      <c r="Q35" s="0" t="n">
        <f aca="false">Q36-P36</f>
        <v>0.00068863471626578</v>
      </c>
      <c r="R35" s="0" t="n">
        <f aca="false">R36-Q36</f>
        <v>0.000688704981128739</v>
      </c>
      <c r="S35" s="0" t="n">
        <f aca="false">S36-R36</f>
        <v>0.000688761662091151</v>
      </c>
      <c r="T35" s="0" t="n">
        <f aca="false">T36-S36</f>
        <v>0.000688808047881498</v>
      </c>
      <c r="U35" s="0" t="n">
        <f aca="false">U36-T36</f>
        <v>0.000688846488950501</v>
      </c>
      <c r="V35" s="0" t="n">
        <f aca="false">V36-U36</f>
        <v>0.000688878701305299</v>
      </c>
      <c r="W35" s="0" t="n">
        <f aca="false">W36-V36</f>
        <v>0.000684489093558499</v>
      </c>
      <c r="X35" s="0" t="n">
        <f aca="false">X36-W36</f>
        <v>0.000275590551181102</v>
      </c>
      <c r="Y35" s="0" t="n">
        <f aca="false">Y36-X36</f>
        <v>0.0018700787401574</v>
      </c>
      <c r="Z35" s="1" t="s">
        <v>115</v>
      </c>
    </row>
    <row r="36" customFormat="false" ht="12.8" hidden="false" customHeight="false" outlineLevel="0" collapsed="false">
      <c r="B36" s="0" t="s">
        <v>116</v>
      </c>
      <c r="C36" s="0" t="n">
        <v>0</v>
      </c>
      <c r="D36" s="10" t="n">
        <v>0.000487298838370701</v>
      </c>
      <c r="E36" s="10" t="n">
        <v>0.00108963332795357</v>
      </c>
      <c r="F36" s="10" t="n">
        <v>0.0017569809482196</v>
      </c>
      <c r="G36" s="10" t="n">
        <v>0.0024364941918535</v>
      </c>
      <c r="H36" s="10" t="n">
        <v>0.00312023500284431</v>
      </c>
      <c r="I36" s="10" t="n">
        <v>0.00380592559445446</v>
      </c>
      <c r="J36" s="10" t="n">
        <v>0.00449267330434586</v>
      </c>
      <c r="K36" s="10" t="n">
        <v>0.00518005770625677</v>
      </c>
      <c r="L36" s="10" t="n">
        <v>0.00586785505037642</v>
      </c>
      <c r="M36" s="10" t="n">
        <v>0.00655593537001515</v>
      </c>
      <c r="N36" s="10" t="n">
        <v>0.00724421803170729</v>
      </c>
      <c r="O36" s="10" t="n">
        <v>0.00793265036652443</v>
      </c>
      <c r="P36" s="10" t="n">
        <v>0.00862119651879233</v>
      </c>
      <c r="Q36" s="10" t="n">
        <v>0.00930983123505811</v>
      </c>
      <c r="R36" s="10" t="n">
        <v>0.00999853621618685</v>
      </c>
      <c r="S36" s="10" t="n">
        <v>0.010687297878278</v>
      </c>
      <c r="T36" s="10" t="n">
        <v>0.0113761059261595</v>
      </c>
      <c r="U36" s="10" t="n">
        <v>0.01206495241511</v>
      </c>
      <c r="V36" s="10" t="n">
        <v>0.0127538311164153</v>
      </c>
      <c r="W36" s="10" t="n">
        <v>0.0134383202099738</v>
      </c>
      <c r="X36" s="10" t="n">
        <v>0.0137139107611549</v>
      </c>
      <c r="Y36" s="10" t="n">
        <v>0.0155839895013123</v>
      </c>
      <c r="Z36" s="18" t="n">
        <f aca="false">(t_in+q_lin*dz*2/(M_dot*cp_in))*9/5+32</f>
        <v>555.682193565694</v>
      </c>
    </row>
    <row r="37" customFormat="false" ht="12.8" hidden="false" customHeight="false" outlineLevel="0" collapsed="false">
      <c r="A37" s="0" t="s">
        <v>117</v>
      </c>
      <c r="B37" s="1" t="s">
        <v>118</v>
      </c>
      <c r="C37" s="5" t="n">
        <f aca="false">D37</f>
        <v>728.734058</v>
      </c>
      <c r="D37" s="20" t="n">
        <v>728.734058</v>
      </c>
      <c r="E37" s="5" t="n">
        <v>728.244238</v>
      </c>
      <c r="F37" s="5" t="n">
        <v>727.158862</v>
      </c>
      <c r="G37" s="5" t="n">
        <v>725.501117</v>
      </c>
      <c r="H37" s="5" t="n">
        <v>723.277037</v>
      </c>
      <c r="I37" s="5" t="n">
        <v>720.489008</v>
      </c>
      <c r="J37" s="5" t="n">
        <v>717.138212</v>
      </c>
      <c r="K37" s="5" t="n">
        <v>713.225322</v>
      </c>
      <c r="L37" s="5" t="n">
        <v>708.750755</v>
      </c>
      <c r="M37" s="5" t="n">
        <v>703.71479</v>
      </c>
      <c r="N37" s="5" t="n">
        <v>698.117619</v>
      </c>
      <c r="O37" s="5" t="n">
        <v>691.959381</v>
      </c>
      <c r="P37" s="5" t="n">
        <v>685.240182</v>
      </c>
      <c r="Q37" s="5" t="n">
        <v>677.960098</v>
      </c>
      <c r="R37" s="5" t="n">
        <v>670.119193</v>
      </c>
      <c r="S37" s="5" t="n">
        <v>661.717514</v>
      </c>
      <c r="T37" s="0" t="n">
        <v>652.755099</v>
      </c>
      <c r="U37" s="0" t="n">
        <v>643.23198</v>
      </c>
      <c r="V37" s="0" t="n">
        <v>633.148181</v>
      </c>
      <c r="W37" s="0" t="n">
        <v>622.571971</v>
      </c>
      <c r="X37" s="0" t="n">
        <v>573.305452</v>
      </c>
      <c r="Y37" s="0" t="n">
        <v>563.441707</v>
      </c>
      <c r="Z37" s="10" t="n">
        <f aca="false">Z36</f>
        <v>555.682193565694</v>
      </c>
    </row>
    <row r="38" customFormat="false" ht="12.8" hidden="false" customHeight="false" outlineLevel="0" collapsed="false">
      <c r="A38" s="0" t="s">
        <v>117</v>
      </c>
      <c r="B38" s="1" t="s">
        <v>119</v>
      </c>
      <c r="C38" s="5" t="n">
        <f aca="false">D38</f>
        <v>728.744571</v>
      </c>
      <c r="D38" s="19" t="n">
        <v>728.744571</v>
      </c>
      <c r="E38" s="0" t="n">
        <v>728.254713</v>
      </c>
      <c r="F38" s="0" t="n">
        <v>727.169249</v>
      </c>
      <c r="G38" s="0" t="n">
        <v>725.511373</v>
      </c>
      <c r="H38" s="0" t="n">
        <v>723.287118</v>
      </c>
      <c r="I38" s="0" t="n">
        <v>720.498872</v>
      </c>
      <c r="J38" s="0" t="n">
        <v>717.147817</v>
      </c>
      <c r="K38" s="0" t="n">
        <v>713.234629</v>
      </c>
      <c r="L38" s="0" t="n">
        <v>708.759728</v>
      </c>
      <c r="M38" s="0" t="n">
        <v>703.723392</v>
      </c>
      <c r="N38" s="0" t="n">
        <v>698.125819</v>
      </c>
      <c r="O38" s="0" t="n">
        <v>691.967149</v>
      </c>
      <c r="P38" s="0" t="n">
        <v>685.247489</v>
      </c>
      <c r="Q38" s="0" t="n">
        <v>677.966921</v>
      </c>
      <c r="R38" s="0" t="n">
        <v>670.125509</v>
      </c>
      <c r="S38" s="0" t="n">
        <v>661.723305</v>
      </c>
      <c r="T38" s="0" t="n">
        <v>652.760351</v>
      </c>
      <c r="U38" s="0" t="n">
        <v>643.23668</v>
      </c>
      <c r="V38" s="0" t="n">
        <v>633.152322</v>
      </c>
      <c r="W38" s="0" t="n">
        <v>622.57555</v>
      </c>
      <c r="X38" s="0" t="n">
        <v>573.306482</v>
      </c>
      <c r="Y38" s="0" t="n">
        <v>563.442214</v>
      </c>
      <c r="Z38" s="10" t="n">
        <f aca="false">Z37</f>
        <v>555.682193565694</v>
      </c>
    </row>
    <row r="39" customFormat="false" ht="12.8" hidden="false" customHeight="false" outlineLevel="0" collapsed="false">
      <c r="A39" s="0" t="s">
        <v>117</v>
      </c>
      <c r="B39" s="1" t="s">
        <v>120</v>
      </c>
      <c r="C39" s="5" t="n">
        <f aca="false">D39</f>
        <v>728.686252</v>
      </c>
      <c r="D39" s="20" t="n">
        <v>728.686252</v>
      </c>
      <c r="E39" s="0" t="n">
        <v>728.196611</v>
      </c>
      <c r="F39" s="0" t="n">
        <v>727.111628</v>
      </c>
      <c r="G39" s="0" t="n">
        <v>725.454481</v>
      </c>
      <c r="H39" s="0" t="n">
        <v>723.231198</v>
      </c>
      <c r="I39" s="0" t="n">
        <v>720.444159</v>
      </c>
      <c r="J39" s="0" t="n">
        <v>717.094538</v>
      </c>
      <c r="K39" s="0" t="n">
        <v>713.183001</v>
      </c>
      <c r="L39" s="0" t="n">
        <v>708.709957</v>
      </c>
      <c r="M39" s="0" t="n">
        <v>703.675673</v>
      </c>
      <c r="N39" s="0" t="n">
        <v>698.080333</v>
      </c>
      <c r="O39" s="0" t="n">
        <v>691.924063</v>
      </c>
      <c r="P39" s="0" t="n">
        <v>685.206956</v>
      </c>
      <c r="Q39" s="0" t="n">
        <v>677.929077</v>
      </c>
      <c r="R39" s="0" t="n">
        <v>670.090474</v>
      </c>
      <c r="S39" s="0" t="n">
        <v>661.69118</v>
      </c>
      <c r="T39" s="0" t="n">
        <v>652.731219</v>
      </c>
      <c r="U39" s="0" t="n">
        <v>643.210607</v>
      </c>
      <c r="V39" s="0" t="n">
        <v>633.129354</v>
      </c>
      <c r="W39" s="0" t="n">
        <v>622.555694</v>
      </c>
      <c r="X39" s="0" t="n">
        <v>573.300767</v>
      </c>
      <c r="Y39" s="0" t="n">
        <v>563.439402</v>
      </c>
      <c r="Z39" s="10" t="n">
        <f aca="false">Z38</f>
        <v>555.682193565694</v>
      </c>
    </row>
    <row r="40" customFormat="false" ht="12.8" hidden="false" customHeight="false" outlineLevel="0" collapsed="false">
      <c r="C40" s="4" t="s">
        <v>121</v>
      </c>
    </row>
    <row r="41" customFormat="false" ht="12.8" hidden="false" customHeight="false" outlineLevel="0" collapsed="false">
      <c r="B41" s="1" t="s">
        <v>122</v>
      </c>
      <c r="C41" s="5" t="n">
        <f aca="false">(C36)*t_ft_m*100</f>
        <v>0</v>
      </c>
      <c r="D41" s="5" t="n">
        <f aca="false">(D36)*t_ft_m*100</f>
        <v>0.014852868593539</v>
      </c>
      <c r="E41" s="5" t="n">
        <f aca="false">(E36)*t_ft_m*100</f>
        <v>0.0332120238360248</v>
      </c>
      <c r="F41" s="5" t="n">
        <f aca="false">(F36)*t_ft_m*100</f>
        <v>0.0535527793017334</v>
      </c>
      <c r="G41" s="5" t="n">
        <f aca="false">(G36)*t_ft_m*100</f>
        <v>0.0742643429676947</v>
      </c>
      <c r="H41" s="5" t="n">
        <f aca="false">(H36)*t_ft_m*100</f>
        <v>0.0951047628866946</v>
      </c>
      <c r="I41" s="5" t="n">
        <f aca="false">(I36)*t_ft_m*100</f>
        <v>0.116004612118972</v>
      </c>
      <c r="J41" s="5" t="n">
        <f aca="false">(J36)*t_ft_m*100</f>
        <v>0.136936682316462</v>
      </c>
      <c r="K41" s="5" t="n">
        <f aca="false">(K36)*t_ft_m*100</f>
        <v>0.157888158886706</v>
      </c>
      <c r="L41" s="5" t="n">
        <f aca="false">(L36)*t_ft_m*100</f>
        <v>0.178852221935473</v>
      </c>
      <c r="M41" s="5" t="n">
        <f aca="false">(M36)*t_ft_m*100</f>
        <v>0.199824910078062</v>
      </c>
      <c r="N41" s="5" t="n">
        <f aca="false">(N36)*t_ft_m*100</f>
        <v>0.220803765606438</v>
      </c>
      <c r="O41" s="5" t="n">
        <f aca="false">(O36)*t_ft_m*100</f>
        <v>0.241787183171665</v>
      </c>
      <c r="P41" s="5" t="n">
        <f aca="false">(P36)*t_ft_m*100</f>
        <v>0.26277406989279</v>
      </c>
      <c r="Q41" s="5" t="n">
        <f aca="false">(Q36)*t_ft_m*100</f>
        <v>0.283763656044571</v>
      </c>
      <c r="R41" s="5" t="n">
        <f aca="false">(R36)*t_ft_m*100</f>
        <v>0.304755383869375</v>
      </c>
      <c r="S41" s="5" t="n">
        <f aca="false">(S36)*t_ft_m*100</f>
        <v>0.325748839329913</v>
      </c>
      <c r="T41" s="5" t="n">
        <f aca="false">(T36)*t_ft_m*100</f>
        <v>0.346743708629342</v>
      </c>
      <c r="U41" s="5" t="n">
        <f aca="false">(U36)*t_ft_m*100</f>
        <v>0.367739749612553</v>
      </c>
      <c r="V41" s="5" t="n">
        <f aca="false">(V36)*t_ft_m*100</f>
        <v>0.388736772428338</v>
      </c>
      <c r="W41" s="5" t="n">
        <f aca="false">(W36)*t_ft_m*100</f>
        <v>0.409600000000001</v>
      </c>
      <c r="X41" s="5" t="n">
        <f aca="false">(X36)*t_ft_m*100</f>
        <v>0.418000000000001</v>
      </c>
      <c r="Y41" s="5" t="n">
        <f aca="false">(Y36)*t_ft_m*100</f>
        <v>0.474999999999999</v>
      </c>
      <c r="AB41" s="5"/>
      <c r="AC41" s="3" t="s">
        <v>123</v>
      </c>
      <c r="AD41" s="8"/>
      <c r="AE41" s="1"/>
      <c r="AF41" s="1"/>
      <c r="AG41" s="1"/>
      <c r="AH41" s="1"/>
      <c r="AI41" s="1"/>
      <c r="AJ41" s="1"/>
      <c r="AK41" s="1"/>
    </row>
    <row r="42" customFormat="false" ht="12.8" hidden="false" customHeight="false" outlineLevel="0" collapsed="false">
      <c r="A42" s="0" t="s">
        <v>124</v>
      </c>
      <c r="B42" s="1" t="s">
        <v>125</v>
      </c>
      <c r="C42" s="5" t="n">
        <f aca="false">q_dot*1000/(4*k_fuel)*((R_fuel/100)^2)*(1-(C41/R_fuel)^2)+delta_gap+delta_clad</f>
        <v>92.3834112916388</v>
      </c>
      <c r="D42" s="5" t="n">
        <f aca="false">q_dot*1000/(4*k_fuel)*((R_fuel/100)^2)*(1-(D41/R_fuel)^2)+delta_gap+delta_clad</f>
        <v>92.3055708600676</v>
      </c>
      <c r="E42" s="5" t="n">
        <f aca="false">q_dot*1000/(4*k_fuel)*((R_fuel/100)^2)*(1-(E41/R_fuel)^2)+delta_gap+delta_clad</f>
        <v>91.9942091337827</v>
      </c>
      <c r="F42" s="5" t="n">
        <f aca="false">q_dot*1000/(4*k_fuel)*((R_fuel/100)^2)*(1-(F41/R_fuel)^2)+delta_gap+delta_clad</f>
        <v>91.3714856812129</v>
      </c>
      <c r="G42" s="5" t="n">
        <f aca="false">q_dot*1000/(4*k_fuel)*((R_fuel/100)^2)*(1-(G41/R_fuel)^2)+delta_gap+delta_clad</f>
        <v>90.4374005023581</v>
      </c>
      <c r="H42" s="5" t="n">
        <f aca="false">q_dot*1000/(4*k_fuel)*((R_fuel/100)^2)*(1-(H41/R_fuel)^2)+delta_gap+delta_clad</f>
        <v>89.1919535972184</v>
      </c>
      <c r="I42" s="5" t="n">
        <f aca="false">q_dot*1000/(4*k_fuel)*((R_fuel/100)^2)*(1-(I41/R_fuel)^2)+delta_gap+delta_clad</f>
        <v>87.6351449657939</v>
      </c>
      <c r="J42" s="5" t="n">
        <f aca="false">q_dot*1000/(4*k_fuel)*((R_fuel/100)^2)*(1-(J41/R_fuel)^2)+delta_gap+delta_clad</f>
        <v>85.7669746080844</v>
      </c>
      <c r="K42" s="5" t="n">
        <f aca="false">q_dot*1000/(4*k_fuel)*((R_fuel/100)^2)*(1-(K41/R_fuel)^2)+delta_gap+delta_clad</f>
        <v>83.58744252409</v>
      </c>
      <c r="L42" s="5" t="n">
        <f aca="false">q_dot*1000/(4*k_fuel)*((R_fuel/100)^2)*(1-(L41/R_fuel)^2)+delta_gap+delta_clad</f>
        <v>81.0965487138107</v>
      </c>
      <c r="M42" s="5" t="n">
        <f aca="false">q_dot*1000/(4*k_fuel)*((R_fuel/100)^2)*(1-(M41/R_fuel)^2)+delta_gap+delta_clad</f>
        <v>78.2942931772464</v>
      </c>
      <c r="N42" s="5" t="n">
        <f aca="false">q_dot*1000/(4*k_fuel)*((R_fuel/100)^2)*(1-(N41/R_fuel)^2)+delta_gap+delta_clad</f>
        <v>75.1806759143973</v>
      </c>
      <c r="O42" s="5" t="n">
        <f aca="false">q_dot*1000/(4*k_fuel)*((R_fuel/100)^2)*(1-(O41/R_fuel)^2)+delta_gap+delta_clad</f>
        <v>71.7556969252632</v>
      </c>
      <c r="P42" s="5" t="n">
        <f aca="false">q_dot*1000/(4*k_fuel)*((R_fuel/100)^2)*(1-(P41/R_fuel)^2)+delta_gap+delta_clad</f>
        <v>68.0193562098443</v>
      </c>
      <c r="Q42" s="5" t="n">
        <f aca="false">q_dot*1000/(4*k_fuel)*((R_fuel/100)^2)*(1-(Q41/R_fuel)^2)+delta_gap+delta_clad</f>
        <v>63.9716537681404</v>
      </c>
      <c r="R42" s="5" t="n">
        <f aca="false">q_dot*1000/(4*k_fuel)*((R_fuel/100)^2)*(1-(R41/R_fuel)^2)+delta_gap+delta_clad</f>
        <v>59.6125896001515</v>
      </c>
      <c r="S42" s="5" t="n">
        <f aca="false">q_dot*1000/(4*k_fuel)*((R_fuel/100)^2)*(1-(S41/R_fuel)^2)+delta_gap+delta_clad</f>
        <v>54.9421637058781</v>
      </c>
      <c r="T42" s="5" t="n">
        <f aca="false">q_dot*1000/(4*k_fuel)*((R_fuel/100)^2)*(1-(T41/R_fuel)^2)+delta_gap+delta_clad</f>
        <v>49.9603760853194</v>
      </c>
      <c r="U42" s="5" t="n">
        <f aca="false">q_dot*1000/(4*k_fuel)*((R_fuel/100)^2)*(1-(U41/R_fuel)^2)+delta_gap+delta_clad</f>
        <v>44.6672267384753</v>
      </c>
      <c r="V42" s="5" t="n">
        <f aca="false">q_dot*1000/(4*k_fuel)*((R_fuel/100)^2)*(1-(V41/R_fuel)^2)+delta_gap+delta_clad</f>
        <v>39.0627156653471</v>
      </c>
      <c r="W42" s="5" t="n">
        <f aca="false">delta_gap+delta_clad</f>
        <v>33.1857630817195</v>
      </c>
      <c r="X42" s="5" t="n">
        <f aca="false">delta_clad</f>
        <v>5.81405867843346</v>
      </c>
      <c r="Y42" s="5" t="n">
        <v>0</v>
      </c>
      <c r="Z42" s="5" t="n">
        <f aca="false">-delta_fluid</f>
        <v>-3.96106367480532</v>
      </c>
      <c r="AB42" s="1" t="s">
        <v>118</v>
      </c>
      <c r="AC42" s="7" t="n">
        <f aca="false">C43-C$42</f>
        <v>-0.554327402749905</v>
      </c>
      <c r="AD42" s="7" t="n">
        <f aca="false">D43-D$42</f>
        <v>-0.476486971178687</v>
      </c>
      <c r="AE42" s="7" t="n">
        <f aca="false">E43-E$42</f>
        <v>-0.437247467115981</v>
      </c>
      <c r="AF42" s="7" t="n">
        <f aca="false">F43-F$42</f>
        <v>-0.417510681212818</v>
      </c>
      <c r="AG42" s="7" t="n">
        <f aca="false">G43-G$42</f>
        <v>-0.404394946802512</v>
      </c>
      <c r="AH42" s="7" t="n">
        <f aca="false">H43-H$42</f>
        <v>-0.394548041662887</v>
      </c>
      <c r="AI42" s="7" t="n">
        <f aca="false">I43-I$42</f>
        <v>-0.386644410238276</v>
      </c>
      <c r="AJ42" s="7" t="n">
        <f aca="false">J43-J$42</f>
        <v>-0.380027385862164</v>
      </c>
      <c r="AK42" s="7" t="n">
        <f aca="false">K43-K$42</f>
        <v>-0.374323079645507</v>
      </c>
      <c r="AL42" s="7" t="n">
        <f aca="false">L43-L$42</f>
        <v>-0.369299824921725</v>
      </c>
      <c r="AM42" s="7" t="n">
        <f aca="false">M43-M$42</f>
        <v>-0.364802621690842</v>
      </c>
      <c r="AN42" s="7" t="n">
        <f aca="false">N43-N$42</f>
        <v>-0.360724803286175</v>
      </c>
    </row>
    <row r="43" customFormat="false" ht="12.8" hidden="false" customHeight="false" outlineLevel="0" collapsed="false">
      <c r="A43" s="0" t="s">
        <v>124</v>
      </c>
      <c r="B43" s="1" t="s">
        <v>118</v>
      </c>
      <c r="C43" s="5" t="n">
        <f aca="false">(C37-$Y37)*t_R_K</f>
        <v>91.8290838888889</v>
      </c>
      <c r="D43" s="5" t="n">
        <f aca="false">(D37-$Y37)*t_R_K</f>
        <v>91.8290838888889</v>
      </c>
      <c r="E43" s="5" t="n">
        <f aca="false">(E37-$Y37)*t_R_K</f>
        <v>91.5569616666667</v>
      </c>
      <c r="F43" s="5" t="n">
        <f aca="false">(F37-$Y37)*t_R_K</f>
        <v>90.953975</v>
      </c>
      <c r="G43" s="5" t="n">
        <f aca="false">(G37-$Y37)*t_R_K</f>
        <v>90.0330055555556</v>
      </c>
      <c r="H43" s="5" t="n">
        <f aca="false">(H37-$Y37)*t_R_K</f>
        <v>88.7974055555556</v>
      </c>
      <c r="I43" s="5" t="n">
        <f aca="false">(I37-$Y37)*t_R_K</f>
        <v>87.2485005555556</v>
      </c>
      <c r="J43" s="5" t="n">
        <f aca="false">(J37-$Y37)*t_R_K</f>
        <v>85.3869472222222</v>
      </c>
      <c r="K43" s="5" t="n">
        <f aca="false">(K37-$Y37)*t_R_K</f>
        <v>83.2131194444445</v>
      </c>
      <c r="L43" s="5" t="n">
        <f aca="false">(L37-$Y37)*t_R_K</f>
        <v>80.7272488888889</v>
      </c>
      <c r="M43" s="5" t="n">
        <f aca="false">(M37-$Y37)*t_R_K</f>
        <v>77.9294905555556</v>
      </c>
      <c r="N43" s="5" t="n">
        <f aca="false">(N37-$Y37)*t_R_K</f>
        <v>74.8199511111111</v>
      </c>
      <c r="O43" s="5" t="n">
        <f aca="false">(O37-$Y37)*t_R_K</f>
        <v>71.3987077777778</v>
      </c>
      <c r="P43" s="5" t="n">
        <f aca="false">(P37-$Y37)*t_R_K</f>
        <v>67.6658194444445</v>
      </c>
      <c r="Q43" s="5" t="n">
        <f aca="false">(Q37-$Y37)*t_R_K</f>
        <v>63.6213283333334</v>
      </c>
      <c r="R43" s="5" t="n">
        <f aca="false">(R37-$Y37)*t_R_K</f>
        <v>59.26527</v>
      </c>
      <c r="S43" s="5" t="n">
        <f aca="false">(S37-$Y37)*t_R_K</f>
        <v>54.5976705555556</v>
      </c>
      <c r="T43" s="5" t="n">
        <f aca="false">(T37-$Y37)*t_R_K</f>
        <v>49.6185511111111</v>
      </c>
      <c r="U43" s="5" t="n">
        <f aca="false">(U37-$Y37)*t_R_K</f>
        <v>44.3279294444445</v>
      </c>
      <c r="V43" s="5" t="n">
        <f aca="false">(V37-$Y37)*t_R_K</f>
        <v>38.7258188888889</v>
      </c>
      <c r="W43" s="5" t="n">
        <f aca="false">(W37-$Y37)*t_R_K</f>
        <v>32.8501466666667</v>
      </c>
      <c r="X43" s="5" t="n">
        <f aca="false">(X37-$Y37)*t_R_K</f>
        <v>5.47985833333333</v>
      </c>
      <c r="Y43" s="5" t="n">
        <f aca="false">(Y37-$Y37)*t_R_K</f>
        <v>0</v>
      </c>
      <c r="Z43" s="5" t="n">
        <f aca="false">(Z37-$Y37)*t_R_K</f>
        <v>-4.31084079683665</v>
      </c>
      <c r="AB43" s="1" t="s">
        <v>119</v>
      </c>
      <c r="AC43" s="7" t="n">
        <f aca="false">C44-C$42</f>
        <v>-0.548768513861091</v>
      </c>
      <c r="AD43" s="7" t="n">
        <f aca="false">D44-D$42</f>
        <v>-0.470928082289873</v>
      </c>
      <c r="AE43" s="7" t="n">
        <f aca="false">E44-E$42</f>
        <v>-0.43170968933822</v>
      </c>
      <c r="AF43" s="7" t="n">
        <f aca="false">F44-F$42</f>
        <v>-0.412021792323955</v>
      </c>
      <c r="AG43" s="7" t="n">
        <f aca="false">G44-G$42</f>
        <v>-0.398978835691437</v>
      </c>
      <c r="AH43" s="7" t="n">
        <f aca="false">H44-H$42</f>
        <v>-0.389229152774035</v>
      </c>
      <c r="AI43" s="7" t="n">
        <f aca="false">I44-I$42</f>
        <v>-0.381446076904993</v>
      </c>
      <c r="AJ43" s="7" t="n">
        <f aca="false">J44-J$42</f>
        <v>-0.374972941417724</v>
      </c>
      <c r="AK43" s="7" t="n">
        <f aca="false">K44-K$42</f>
        <v>-0.369434190756635</v>
      </c>
      <c r="AL43" s="7" t="n">
        <f aca="false">L44-L$42</f>
        <v>-0.364596491588458</v>
      </c>
      <c r="AM43" s="7" t="n">
        <f aca="false">M44-M$42</f>
        <v>-0.360305399468672</v>
      </c>
      <c r="AN43" s="7" t="n">
        <f aca="false">N44-N$42</f>
        <v>-0.356450914397342</v>
      </c>
    </row>
    <row r="44" customFormat="false" ht="12.8" hidden="false" customHeight="false" outlineLevel="0" collapsed="false">
      <c r="A44" s="0" t="s">
        <v>124</v>
      </c>
      <c r="B44" s="1" t="s">
        <v>119</v>
      </c>
      <c r="C44" s="5" t="n">
        <f aca="false">(C38-$Y38)*t_R_K</f>
        <v>91.8346427777777</v>
      </c>
      <c r="D44" s="5" t="n">
        <f aca="false">(D38-$Y38)*t_R_K</f>
        <v>91.8346427777777</v>
      </c>
      <c r="E44" s="5" t="n">
        <f aca="false">(E38-$Y38)*t_R_K</f>
        <v>91.5624994444445</v>
      </c>
      <c r="F44" s="5" t="n">
        <f aca="false">(F38-$Y38)*t_R_K</f>
        <v>90.9594638888889</v>
      </c>
      <c r="G44" s="5" t="n">
        <f aca="false">(G38-$Y38)*t_R_K</f>
        <v>90.0384216666667</v>
      </c>
      <c r="H44" s="5" t="n">
        <f aca="false">(H38-$Y38)*t_R_K</f>
        <v>88.8027244444444</v>
      </c>
      <c r="I44" s="5" t="n">
        <f aca="false">(I38-$Y38)*t_R_K</f>
        <v>87.2536988888889</v>
      </c>
      <c r="J44" s="5" t="n">
        <f aca="false">(J38-$Y38)*t_R_K</f>
        <v>85.3920016666667</v>
      </c>
      <c r="K44" s="5" t="n">
        <f aca="false">(K38-$Y38)*t_R_K</f>
        <v>83.2180083333333</v>
      </c>
      <c r="L44" s="5" t="n">
        <f aca="false">(L38-$Y38)*t_R_K</f>
        <v>80.7319522222222</v>
      </c>
      <c r="M44" s="5" t="n">
        <f aca="false">(M38-$Y38)*t_R_K</f>
        <v>77.9339877777778</v>
      </c>
      <c r="N44" s="5" t="n">
        <f aca="false">(N38-$Y38)*t_R_K</f>
        <v>74.824225</v>
      </c>
      <c r="O44" s="5" t="n">
        <f aca="false">(O38-$Y38)*t_R_K</f>
        <v>71.4027416666666</v>
      </c>
      <c r="P44" s="5" t="n">
        <f aca="false">(P38-$Y38)*t_R_K</f>
        <v>67.6695972222222</v>
      </c>
      <c r="Q44" s="5" t="n">
        <f aca="false">(Q38-$Y38)*t_R_K</f>
        <v>63.6248372222222</v>
      </c>
      <c r="R44" s="5" t="n">
        <f aca="false">(R38-$Y38)*t_R_K</f>
        <v>59.2684972222222</v>
      </c>
      <c r="S44" s="5" t="n">
        <f aca="false">(S38-$Y38)*t_R_K</f>
        <v>54.6006061111111</v>
      </c>
      <c r="T44" s="5" t="n">
        <f aca="false">(T38-$Y38)*t_R_K</f>
        <v>49.6211872222222</v>
      </c>
      <c r="U44" s="5" t="n">
        <f aca="false">(U38-$Y38)*t_R_K</f>
        <v>44.3302588888889</v>
      </c>
      <c r="V44" s="5" t="n">
        <f aca="false">(V38-$Y38)*t_R_K</f>
        <v>38.7278377777778</v>
      </c>
      <c r="W44" s="5" t="n">
        <f aca="false">(W38-$Y38)*t_R_K</f>
        <v>32.8518533333333</v>
      </c>
      <c r="X44" s="5" t="n">
        <f aca="false">(X38-$Y38)*t_R_K</f>
        <v>5.48014888888885</v>
      </c>
      <c r="Y44" s="5" t="n">
        <f aca="false">(Y38-$Y38)*t_R_K</f>
        <v>0</v>
      </c>
      <c r="Z44" s="5" t="n">
        <f aca="false">(Z38-$Y38)*t_R_K</f>
        <v>-4.31112246350337</v>
      </c>
      <c r="AB44" s="1" t="s">
        <v>120</v>
      </c>
      <c r="AC44" s="7" t="n">
        <f aca="false">C45-C$42</f>
        <v>-0.579605736083266</v>
      </c>
      <c r="AD44" s="7" t="n">
        <f aca="false">D45-D$42</f>
        <v>-0.501765304512048</v>
      </c>
      <c r="AE44" s="7" t="n">
        <f aca="false">E45-E$42</f>
        <v>-0.462426356004897</v>
      </c>
      <c r="AF44" s="7" t="n">
        <f aca="false">F45-F$42</f>
        <v>-0.442471236768384</v>
      </c>
      <c r="AG44" s="7" t="n">
        <f aca="false">G45-G$42</f>
        <v>-0.42902328013588</v>
      </c>
      <c r="AH44" s="7" t="n">
        <f aca="false">H45-H$42</f>
        <v>-0.418733597218449</v>
      </c>
      <c r="AI44" s="7" t="n">
        <f aca="false">I45-I$42</f>
        <v>-0.410279965793848</v>
      </c>
      <c r="AJ44" s="7" t="n">
        <f aca="false">J45-J$42</f>
        <v>-0.403010163639962</v>
      </c>
      <c r="AK44" s="7" t="n">
        <f aca="false">K45-K$42</f>
        <v>-0.396554190756632</v>
      </c>
      <c r="AL44" s="7" t="n">
        <f aca="false">L45-L$42</f>
        <v>-0.390684824921735</v>
      </c>
      <c r="AM44" s="7" t="n">
        <f aca="false">M45-M$42</f>
        <v>-0.385253732801985</v>
      </c>
      <c r="AN44" s="7" t="n">
        <f aca="false">N45-N$42</f>
        <v>-0.380158692175073</v>
      </c>
    </row>
    <row r="45" customFormat="false" ht="12.8" hidden="false" customHeight="false" outlineLevel="0" collapsed="false">
      <c r="A45" s="0" t="s">
        <v>124</v>
      </c>
      <c r="B45" s="1" t="s">
        <v>120</v>
      </c>
      <c r="C45" s="5" t="n">
        <f aca="false">(C39-$Y39)*t_R_K</f>
        <v>91.8038055555556</v>
      </c>
      <c r="D45" s="5" t="n">
        <f aca="false">(D39-$Y39)*t_R_K</f>
        <v>91.8038055555556</v>
      </c>
      <c r="E45" s="5" t="n">
        <f aca="false">(E39-$Y39)*t_R_K</f>
        <v>91.5317827777778</v>
      </c>
      <c r="F45" s="5" t="n">
        <f aca="false">(F39-$Y39)*t_R_K</f>
        <v>90.9290144444445</v>
      </c>
      <c r="G45" s="5" t="n">
        <f aca="false">(G39-$Y39)*t_R_K</f>
        <v>90.0083772222222</v>
      </c>
      <c r="H45" s="5" t="n">
        <f aca="false">(H39-$Y39)*t_R_K</f>
        <v>88.77322</v>
      </c>
      <c r="I45" s="5" t="n">
        <f aca="false">(I39-$Y39)*t_R_K</f>
        <v>87.224865</v>
      </c>
      <c r="J45" s="5" t="n">
        <f aca="false">(J39-$Y39)*t_R_K</f>
        <v>85.3639644444444</v>
      </c>
      <c r="K45" s="5" t="n">
        <f aca="false">(K39-$Y39)*t_R_K</f>
        <v>83.1908883333334</v>
      </c>
      <c r="L45" s="5" t="n">
        <f aca="false">(L39-$Y39)*t_R_K</f>
        <v>80.7058638888889</v>
      </c>
      <c r="M45" s="5" t="n">
        <f aca="false">(M39-$Y39)*t_R_K</f>
        <v>77.9090394444444</v>
      </c>
      <c r="N45" s="5" t="n">
        <f aca="false">(N39-$Y39)*t_R_K</f>
        <v>74.8005172222222</v>
      </c>
      <c r="O45" s="5" t="n">
        <f aca="false">(O39-$Y39)*t_R_K</f>
        <v>71.3803672222223</v>
      </c>
      <c r="P45" s="5" t="n">
        <f aca="false">(P39-$Y39)*t_R_K</f>
        <v>67.6486411111111</v>
      </c>
      <c r="Q45" s="5" t="n">
        <f aca="false">(Q39-$Y39)*t_R_K</f>
        <v>63.605375</v>
      </c>
      <c r="R45" s="5" t="n">
        <f aca="false">(R39-$Y39)*t_R_K</f>
        <v>59.2505955555556</v>
      </c>
      <c r="S45" s="5" t="n">
        <f aca="false">(S39-$Y39)*t_R_K</f>
        <v>54.5843211111111</v>
      </c>
      <c r="T45" s="5" t="n">
        <f aca="false">(T39-$Y39)*t_R_K</f>
        <v>49.606565</v>
      </c>
      <c r="U45" s="5" t="n">
        <f aca="false">(U39-$Y39)*t_R_K</f>
        <v>44.3173361111111</v>
      </c>
      <c r="V45" s="5" t="n">
        <f aca="false">(V39-$Y39)*t_R_K</f>
        <v>38.71664</v>
      </c>
      <c r="W45" s="5" t="n">
        <f aca="false">(W39-$Y39)*t_R_K</f>
        <v>32.8423844444445</v>
      </c>
      <c r="X45" s="5" t="n">
        <f aca="false">(X39-$Y39)*t_R_K</f>
        <v>5.4785361111111</v>
      </c>
      <c r="Y45" s="5" t="n">
        <f aca="false">(Y39-$Y39)*t_R_K</f>
        <v>0</v>
      </c>
      <c r="Z45" s="5" t="n">
        <f aca="false">(Z39-$Y39)*t_R_K</f>
        <v>-4.30956024128111</v>
      </c>
    </row>
    <row r="46" customFormat="false" ht="12.8" hidden="false" customHeight="false" outlineLevel="0" collapsed="false">
      <c r="B46" s="1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customFormat="false" ht="12.8" hidden="false" customHeight="false" outlineLevel="0" collapsed="false">
      <c r="C47" s="4" t="s">
        <v>126</v>
      </c>
    </row>
    <row r="48" customFormat="false" ht="12.8" hidden="false" customHeight="false" outlineLevel="0" collapsed="false">
      <c r="B48" s="1" t="s">
        <v>122</v>
      </c>
      <c r="C48" s="8" t="n">
        <f aca="false">(C36)*t_ft_m*100</f>
        <v>0</v>
      </c>
      <c r="D48" s="8" t="n">
        <f aca="false">(D36)*t_ft_m*100</f>
        <v>0.014852868593539</v>
      </c>
      <c r="E48" s="8" t="n">
        <f aca="false">(E36)*t_ft_m*100</f>
        <v>0.0332120238360248</v>
      </c>
      <c r="F48" s="8" t="n">
        <f aca="false">(F36)*t_ft_m*100</f>
        <v>0.0535527793017334</v>
      </c>
      <c r="G48" s="8" t="n">
        <f aca="false">(G36)*t_ft_m*100</f>
        <v>0.0742643429676947</v>
      </c>
      <c r="H48" s="8" t="n">
        <f aca="false">(H36)*t_ft_m*100</f>
        <v>0.0951047628866946</v>
      </c>
      <c r="I48" s="8" t="n">
        <f aca="false">(I36)*t_ft_m*100</f>
        <v>0.116004612118972</v>
      </c>
      <c r="J48" s="8" t="n">
        <f aca="false">(J36)*t_ft_m*100</f>
        <v>0.136936682316462</v>
      </c>
      <c r="K48" s="8" t="n">
        <f aca="false">(K36)*t_ft_m*100</f>
        <v>0.157888158886706</v>
      </c>
      <c r="L48" s="8" t="n">
        <f aca="false">(L36)*t_ft_m*100</f>
        <v>0.178852221935473</v>
      </c>
      <c r="M48" s="8" t="n">
        <f aca="false">(M36)*t_ft_m*100</f>
        <v>0.199824910078062</v>
      </c>
      <c r="N48" s="8" t="n">
        <f aca="false">(N36)*t_ft_m*100</f>
        <v>0.220803765606438</v>
      </c>
      <c r="O48" s="8" t="n">
        <f aca="false">(O36)*t_ft_m*100</f>
        <v>0.241787183171665</v>
      </c>
      <c r="P48" s="8"/>
    </row>
    <row r="49" customFormat="false" ht="12.8" hidden="false" customHeight="false" outlineLevel="0" collapsed="false">
      <c r="A49" s="0" t="s">
        <v>124</v>
      </c>
      <c r="B49" s="1" t="s">
        <v>125</v>
      </c>
      <c r="C49" s="5" t="n">
        <f aca="false">C42+$Z49-$Z42</f>
        <v>387.279026947385</v>
      </c>
      <c r="D49" s="5" t="n">
        <f aca="false">D42+$Z49-$Z42</f>
        <v>387.201186515814</v>
      </c>
      <c r="E49" s="5" t="n">
        <f aca="false">E42+$Z49-$Z42</f>
        <v>386.889824789529</v>
      </c>
      <c r="F49" s="5" t="n">
        <f aca="false">F42+$Z49-$Z42</f>
        <v>386.267101336959</v>
      </c>
      <c r="G49" s="5" t="n">
        <f aca="false">G42+$Z49-$Z42</f>
        <v>385.333016158105</v>
      </c>
      <c r="H49" s="5" t="n">
        <f aca="false">H42+$Z49-$Z42</f>
        <v>384.087569252965</v>
      </c>
      <c r="I49" s="5" t="n">
        <f aca="false">I42+$Z49-$Z42</f>
        <v>382.53076062154</v>
      </c>
      <c r="J49" s="5" t="n">
        <f aca="false">J42+$Z49-$Z42</f>
        <v>380.662590263831</v>
      </c>
      <c r="K49" s="5" t="n">
        <f aca="false">K42+$Z49-$Z42</f>
        <v>378.483058179836</v>
      </c>
      <c r="L49" s="5" t="n">
        <f aca="false">L42+$Z49-$Z42</f>
        <v>375.992164369557</v>
      </c>
      <c r="M49" s="5" t="n">
        <f aca="false">M42+$Z49-$Z42</f>
        <v>373.189908832993</v>
      </c>
      <c r="N49" s="5" t="n">
        <f aca="false">N42+$Z49-$Z42</f>
        <v>370.076291570144</v>
      </c>
      <c r="O49" s="5" t="n">
        <f aca="false">O42+$Z49-$Z42</f>
        <v>366.65131258101</v>
      </c>
      <c r="P49" s="5" t="n">
        <f aca="false">P42+$Z49-$Z42</f>
        <v>362.914971865591</v>
      </c>
      <c r="Q49" s="5" t="n">
        <f aca="false">Q42+$Z49-$Z42</f>
        <v>358.867269423887</v>
      </c>
      <c r="R49" s="5" t="n">
        <f aca="false">R42+$Z49-$Z42</f>
        <v>354.508205255898</v>
      </c>
      <c r="S49" s="5" t="n">
        <f aca="false">S42+$Z49-$Z42</f>
        <v>349.837779361624</v>
      </c>
      <c r="T49" s="5" t="n">
        <f aca="false">T42+$Z49-$Z42</f>
        <v>344.855991741066</v>
      </c>
      <c r="U49" s="5" t="n">
        <f aca="false">U42+$Z49-$Z42</f>
        <v>339.562842394222</v>
      </c>
      <c r="V49" s="5" t="n">
        <f aca="false">V42+$Z49-$Z42</f>
        <v>333.958331321094</v>
      </c>
      <c r="W49" s="5" t="n">
        <f aca="false">W42+$Z49-$Z42</f>
        <v>328.081378737466</v>
      </c>
      <c r="X49" s="5" t="n">
        <f aca="false">X42+$Z49-$Z42</f>
        <v>300.70967433418</v>
      </c>
      <c r="Y49" s="5" t="n">
        <f aca="false">Y42+$Z49-$Z42</f>
        <v>294.895615655746</v>
      </c>
      <c r="Z49" s="5" t="n">
        <f aca="false">5/9*(Z36-32)</f>
        <v>290.934551980941</v>
      </c>
      <c r="AB49" s="5"/>
      <c r="AC49" s="3" t="s">
        <v>127</v>
      </c>
      <c r="AD49" s="8"/>
      <c r="AE49" s="1"/>
      <c r="AF49" s="1"/>
      <c r="AG49" s="1"/>
      <c r="AH49" s="1"/>
      <c r="AI49" s="1"/>
      <c r="AJ49" s="1"/>
      <c r="AK49" s="1"/>
    </row>
    <row r="50" customFormat="false" ht="12.8" hidden="false" customHeight="false" outlineLevel="0" collapsed="false">
      <c r="A50" s="0" t="s">
        <v>124</v>
      </c>
      <c r="B50" s="1" t="s">
        <v>118</v>
      </c>
      <c r="C50" s="5" t="n">
        <f aca="false">C43+$Z50-$Z43</f>
        <v>387.074476666667</v>
      </c>
      <c r="D50" s="5" t="n">
        <f aca="false">D43+$Z50-$Z43</f>
        <v>387.074476666667</v>
      </c>
      <c r="E50" s="5" t="n">
        <f aca="false">E43+$Z50-$Z43</f>
        <v>386.802354444444</v>
      </c>
      <c r="F50" s="5" t="n">
        <f aca="false">F43+$Z50-$Z43</f>
        <v>386.199367777778</v>
      </c>
      <c r="G50" s="5" t="n">
        <f aca="false">G43+$Z50-$Z43</f>
        <v>385.278398333333</v>
      </c>
      <c r="H50" s="5" t="n">
        <f aca="false">H43+$Z50-$Z43</f>
        <v>384.042798333333</v>
      </c>
      <c r="I50" s="5" t="n">
        <f aca="false">I43+$Z50-$Z43</f>
        <v>382.493893333333</v>
      </c>
      <c r="J50" s="5" t="n">
        <f aca="false">J43+$Z50-$Z43</f>
        <v>380.63234</v>
      </c>
      <c r="K50" s="5" t="n">
        <f aca="false">K43+$Z50-$Z43</f>
        <v>378.458512222222</v>
      </c>
      <c r="L50" s="5" t="n">
        <f aca="false">L43+$Z50-$Z43</f>
        <v>375.972641666667</v>
      </c>
      <c r="M50" s="5" t="n">
        <f aca="false">M43+$Z50-$Z43</f>
        <v>373.174883333333</v>
      </c>
      <c r="N50" s="5" t="n">
        <f aca="false">N43+$Z50-$Z43</f>
        <v>370.065343888889</v>
      </c>
      <c r="O50" s="5" t="n">
        <f aca="false">O43+$Z50-$Z43</f>
        <v>366.644100555556</v>
      </c>
      <c r="P50" s="5" t="n">
        <f aca="false">P43+$Z50-$Z43</f>
        <v>362.911212222222</v>
      </c>
      <c r="Q50" s="5" t="n">
        <f aca="false">Q43+$Z50-$Z43</f>
        <v>358.866721111111</v>
      </c>
      <c r="R50" s="5" t="n">
        <f aca="false">R43+$Z50-$Z43</f>
        <v>354.510662777778</v>
      </c>
      <c r="S50" s="5" t="n">
        <f aca="false">S43+$Z50-$Z43</f>
        <v>349.843063333333</v>
      </c>
      <c r="T50" s="5" t="n">
        <f aca="false">T43+$Z50-$Z43</f>
        <v>344.863943888889</v>
      </c>
      <c r="U50" s="5" t="n">
        <f aca="false">U43+$Z50-$Z43</f>
        <v>339.573322222222</v>
      </c>
      <c r="V50" s="5" t="n">
        <f aca="false">V43+$Z50-$Z43</f>
        <v>333.971211666667</v>
      </c>
      <c r="W50" s="5" t="n">
        <f aca="false">W43+$Z50-$Z43</f>
        <v>328.095539444444</v>
      </c>
      <c r="X50" s="5" t="n">
        <f aca="false">X43+$Z50-$Z43</f>
        <v>300.725251111111</v>
      </c>
      <c r="Y50" s="5" t="n">
        <f aca="false">Y43+$Z50-$Z43</f>
        <v>295.245392777778</v>
      </c>
      <c r="Z50" s="5" t="n">
        <f aca="false">5/9*(Z37-32)</f>
        <v>290.934551980941</v>
      </c>
      <c r="AB50" s="1" t="s">
        <v>118</v>
      </c>
      <c r="AC50" s="21" t="n">
        <f aca="false">(C50-C$49)/C$49</f>
        <v>-0.000528172884369299</v>
      </c>
      <c r="AD50" s="21" t="n">
        <f aca="false">(D50-D$49)/D$49</f>
        <v>-0.000327245508433304</v>
      </c>
      <c r="AE50" s="21" t="n">
        <f aca="false">(E50-E$49)/E$49</f>
        <v>-0.000226085928034447</v>
      </c>
      <c r="AF50" s="21" t="n">
        <f aca="false">(F50-F$49)/F$49</f>
        <v>-0.000175354201657442</v>
      </c>
      <c r="AG50" s="21" t="n">
        <f aca="false">(G50-G$49)/G$49</f>
        <v>-0.000141741876457111</v>
      </c>
      <c r="AH50" s="21" t="n">
        <f aca="false">(H50-H$49)/H$49</f>
        <v>-0.000116564354630476</v>
      </c>
      <c r="AI50" s="21" t="n">
        <f aca="false">(I50-I$49)/I$49</f>
        <v>-9.63773165509721E-005</v>
      </c>
      <c r="AJ50" s="21" t="n">
        <f aca="false">(J50-J$49)/J$49</f>
        <v>-7.94673934463281E-005</v>
      </c>
      <c r="AK50" s="21" t="n">
        <f aca="false">(K50-K$49)/K$49</f>
        <v>-6.48535174392401E-005</v>
      </c>
      <c r="AL50" s="21" t="n">
        <f aca="false">(L50-L$49)/L$49</f>
        <v>-5.19231642050056E-005</v>
      </c>
      <c r="AM50" s="21" t="n">
        <f aca="false">(M50-M$49)/M$49</f>
        <v>-4.02623417832309E-005</v>
      </c>
      <c r="AN50" s="21" t="n">
        <f aca="false">(N50-N$49)/N$49</f>
        <v>-2.95822280544601E-005</v>
      </c>
      <c r="AO50" s="21" t="n">
        <f aca="false">(O50-O$49)/O$49</f>
        <v>-1.96699840055065E-005</v>
      </c>
    </row>
    <row r="51" customFormat="false" ht="12.8" hidden="false" customHeight="false" outlineLevel="0" collapsed="false">
      <c r="A51" s="0" t="s">
        <v>124</v>
      </c>
      <c r="B51" s="1" t="s">
        <v>119</v>
      </c>
      <c r="C51" s="5" t="n">
        <f aca="false">C44+$Z51-$Z44</f>
        <v>387.080317222222</v>
      </c>
      <c r="D51" s="5" t="n">
        <f aca="false">D44+$Z51-$Z44</f>
        <v>387.080317222222</v>
      </c>
      <c r="E51" s="5" t="n">
        <f aca="false">E44+$Z51-$Z44</f>
        <v>386.808173888889</v>
      </c>
      <c r="F51" s="5" t="n">
        <f aca="false">F44+$Z51-$Z44</f>
        <v>386.205138333333</v>
      </c>
      <c r="G51" s="5" t="n">
        <f aca="false">G44+$Z51-$Z44</f>
        <v>385.284096111111</v>
      </c>
      <c r="H51" s="5" t="n">
        <f aca="false">H44+$Z51-$Z44</f>
        <v>384.048398888889</v>
      </c>
      <c r="I51" s="5" t="n">
        <f aca="false">I44+$Z51-$Z44</f>
        <v>382.499373333333</v>
      </c>
      <c r="J51" s="5" t="n">
        <f aca="false">J44+$Z51-$Z44</f>
        <v>380.637676111111</v>
      </c>
      <c r="K51" s="5" t="n">
        <f aca="false">K44+$Z51-$Z44</f>
        <v>378.463682777778</v>
      </c>
      <c r="L51" s="5" t="n">
        <f aca="false">L44+$Z51-$Z44</f>
        <v>375.977626666667</v>
      </c>
      <c r="M51" s="5" t="n">
        <f aca="false">M44+$Z51-$Z44</f>
        <v>373.179662222222</v>
      </c>
      <c r="N51" s="5" t="n">
        <f aca="false">N44+$Z51-$Z44</f>
        <v>370.069899444444</v>
      </c>
      <c r="O51" s="5" t="n">
        <f aca="false">O44+$Z51-$Z44</f>
        <v>366.648416111111</v>
      </c>
      <c r="P51" s="5" t="n">
        <f aca="false">P44+$Z51-$Z44</f>
        <v>362.915271666667</v>
      </c>
      <c r="Q51" s="5" t="n">
        <f aca="false">Q44+$Z51-$Z44</f>
        <v>358.870511666667</v>
      </c>
      <c r="R51" s="5" t="n">
        <f aca="false">R44+$Z51-$Z44</f>
        <v>354.514171666667</v>
      </c>
      <c r="S51" s="5" t="n">
        <f aca="false">S44+$Z51-$Z44</f>
        <v>349.846280555556</v>
      </c>
      <c r="T51" s="5" t="n">
        <f aca="false">T44+$Z51-$Z44</f>
        <v>344.866861666667</v>
      </c>
      <c r="U51" s="5" t="n">
        <f aca="false">U44+$Z51-$Z44</f>
        <v>339.575933333333</v>
      </c>
      <c r="V51" s="5" t="n">
        <f aca="false">V44+$Z51-$Z44</f>
        <v>333.973512222222</v>
      </c>
      <c r="W51" s="5" t="n">
        <f aca="false">W44+$Z51-$Z44</f>
        <v>328.097527777778</v>
      </c>
      <c r="X51" s="5" t="n">
        <f aca="false">X44+$Z51-$Z44</f>
        <v>300.725823333333</v>
      </c>
      <c r="Y51" s="5" t="n">
        <f aca="false">Y44+$Z51-$Z44</f>
        <v>295.245674444444</v>
      </c>
      <c r="Z51" s="5" t="n">
        <f aca="false">5/9*(Z38-32)</f>
        <v>290.934551980941</v>
      </c>
      <c r="AB51" s="1" t="s">
        <v>119</v>
      </c>
      <c r="AC51" s="21" t="n">
        <f aca="false">(C51-C$49)/C$49</f>
        <v>-0.000513091882948874</v>
      </c>
      <c r="AD51" s="21" t="n">
        <f aca="false">(D51-D$49)/D$49</f>
        <v>-0.00031216147522553</v>
      </c>
      <c r="AE51" s="21" t="n">
        <f aca="false">(E51-E$49)/E$49</f>
        <v>-0.000211044321686496</v>
      </c>
      <c r="AF51" s="21" t="n">
        <f aca="false">(F51-F$49)/F$49</f>
        <v>-0.000160414913440599</v>
      </c>
      <c r="AG51" s="21" t="n">
        <f aca="false">(G51-G$49)/G$49</f>
        <v>-0.000126955243755446</v>
      </c>
      <c r="AH51" s="21" t="n">
        <f aca="false">(H51-H$49)/H$49</f>
        <v>-0.000101982899764794</v>
      </c>
      <c r="AI51" s="21" t="n">
        <f aca="false">(I51-I$49)/I$49</f>
        <v>-8.20516712327412E-005</v>
      </c>
      <c r="AJ51" s="21" t="n">
        <f aca="false">(J51-J$49)/J$49</f>
        <v>-6.54494383134286E-005</v>
      </c>
      <c r="AK51" s="21" t="n">
        <f aca="false">(K51-K$49)/K$49</f>
        <v>-5.11922571957751E-005</v>
      </c>
      <c r="AL51" s="21" t="n">
        <f aca="false">(L51-L$49)/L$49</f>
        <v>-3.86649091870186E-005</v>
      </c>
      <c r="AM51" s="21" t="n">
        <f aca="false">(M51-M$49)/M$49</f>
        <v>-2.74568270152127E-005</v>
      </c>
      <c r="AN51" s="21" t="n">
        <f aca="false">(N51-N$49)/N$49</f>
        <v>-1.72724539368849E-005</v>
      </c>
      <c r="AO51" s="21" t="n">
        <f aca="false">(O51-O$49)/O$49</f>
        <v>-7.89979416176393E-006</v>
      </c>
    </row>
    <row r="52" customFormat="false" ht="12.8" hidden="false" customHeight="false" outlineLevel="0" collapsed="false">
      <c r="A52" s="0" t="s">
        <v>124</v>
      </c>
      <c r="B52" s="1" t="s">
        <v>120</v>
      </c>
      <c r="C52" s="5" t="n">
        <f aca="false">C45+$Z52-$Z45</f>
        <v>387.047917777778</v>
      </c>
      <c r="D52" s="5" t="n">
        <f aca="false">D45+$Z52-$Z45</f>
        <v>387.047917777778</v>
      </c>
      <c r="E52" s="5" t="n">
        <f aca="false">E45+$Z52-$Z45</f>
        <v>386.775895</v>
      </c>
      <c r="F52" s="5" t="n">
        <f aca="false">F45+$Z52-$Z45</f>
        <v>386.173126666667</v>
      </c>
      <c r="G52" s="5" t="n">
        <f aca="false">G45+$Z52-$Z45</f>
        <v>385.252489444444</v>
      </c>
      <c r="H52" s="5" t="n">
        <f aca="false">H45+$Z52-$Z45</f>
        <v>384.017332222222</v>
      </c>
      <c r="I52" s="5" t="n">
        <f aca="false">I45+$Z52-$Z45</f>
        <v>382.468977222222</v>
      </c>
      <c r="J52" s="5" t="n">
        <f aca="false">J45+$Z52-$Z45</f>
        <v>380.608076666667</v>
      </c>
      <c r="K52" s="5" t="n">
        <f aca="false">K45+$Z52-$Z45</f>
        <v>378.435000555556</v>
      </c>
      <c r="L52" s="5" t="n">
        <f aca="false">L45+$Z52-$Z45</f>
        <v>375.949976111111</v>
      </c>
      <c r="M52" s="5" t="n">
        <f aca="false">M45+$Z52-$Z45</f>
        <v>373.153151666667</v>
      </c>
      <c r="N52" s="5" t="n">
        <f aca="false">N45+$Z52-$Z45</f>
        <v>370.044629444445</v>
      </c>
      <c r="O52" s="5" t="n">
        <f aca="false">O45+$Z52-$Z45</f>
        <v>366.624479444445</v>
      </c>
      <c r="P52" s="5" t="n">
        <f aca="false">P45+$Z52-$Z45</f>
        <v>362.892753333333</v>
      </c>
      <c r="Q52" s="5" t="n">
        <f aca="false">Q45+$Z52-$Z45</f>
        <v>358.849487222222</v>
      </c>
      <c r="R52" s="5" t="n">
        <f aca="false">R45+$Z52-$Z45</f>
        <v>354.494707777778</v>
      </c>
      <c r="S52" s="5" t="n">
        <f aca="false">S45+$Z52-$Z45</f>
        <v>349.828433333333</v>
      </c>
      <c r="T52" s="5" t="n">
        <f aca="false">T45+$Z52-$Z45</f>
        <v>344.850677222222</v>
      </c>
      <c r="U52" s="5" t="n">
        <f aca="false">U45+$Z52-$Z45</f>
        <v>339.561448333333</v>
      </c>
      <c r="V52" s="5" t="n">
        <f aca="false">V45+$Z52-$Z45</f>
        <v>333.960752222222</v>
      </c>
      <c r="W52" s="5" t="n">
        <f aca="false">W45+$Z52-$Z45</f>
        <v>328.086496666667</v>
      </c>
      <c r="X52" s="5" t="n">
        <f aca="false">X45+$Z52-$Z45</f>
        <v>300.722648333333</v>
      </c>
      <c r="Y52" s="5" t="n">
        <f aca="false">Y45+$Z52-$Z45</f>
        <v>295.244112222222</v>
      </c>
      <c r="Z52" s="5" t="n">
        <f aca="false">5/9*(Z39-32)</f>
        <v>290.934551980941</v>
      </c>
      <c r="AB52" s="1" t="s">
        <v>120</v>
      </c>
      <c r="AC52" s="21" t="n">
        <f aca="false">(C52-C$49)/C$49</f>
        <v>-0.000596751059382469</v>
      </c>
      <c r="AD52" s="21" t="n">
        <f aca="false">(D52-D$49)/D$49</f>
        <v>-0.00039583746996089</v>
      </c>
      <c r="AE52" s="21" t="n">
        <f aca="false">(E52-E$49)/E$49</f>
        <v>-0.00029447605553084</v>
      </c>
      <c r="AF52" s="21" t="n">
        <f aca="false">(F52-F$49)/F$49</f>
        <v>-0.000243289345552006</v>
      </c>
      <c r="AG52" s="21" t="n">
        <f aca="false">(G52-G$49)/G$49</f>
        <v>-0.000208979532724516</v>
      </c>
      <c r="AH52" s="21" t="n">
        <f aca="false">(H52-H$49)/H$49</f>
        <v>-0.000182867232280531</v>
      </c>
      <c r="AI52" s="21" t="n">
        <f aca="false">(I52-I$49)/I$49</f>
        <v>-0.000161512238173031</v>
      </c>
      <c r="AJ52" s="21" t="n">
        <f aca="false">(J52-J$49)/J$49</f>
        <v>-0.000143207130299732</v>
      </c>
      <c r="AK52" s="21" t="n">
        <f aca="false">(K52-K$49)/K$49</f>
        <v>-0.000126974307679416</v>
      </c>
      <c r="AL52" s="21" t="n">
        <f aca="false">(L52-L$49)/L$49</f>
        <v>-0.000112205153308524</v>
      </c>
      <c r="AM52" s="21" t="n">
        <f aca="false">(M52-M$49)/M$49</f>
        <v>-9.84945344346014E-005</v>
      </c>
      <c r="AN52" s="21" t="n">
        <f aca="false">(N52-N$49)/N$49</f>
        <v>-8.55556716828972E-005</v>
      </c>
      <c r="AO52" s="21" t="n">
        <f aca="false">(O52-O$49)/O$49</f>
        <v>-7.31843461195901E-005</v>
      </c>
    </row>
    <row r="53" customFormat="false" ht="12.8" hidden="false" customHeight="false" outlineLevel="0" collapsed="false">
      <c r="Q53" s="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</row>
    <row r="55" customFormat="false" ht="12.8" hidden="false" customHeight="false" outlineLevel="0" collapsed="false">
      <c r="A55" s="0" t="n">
        <v>0</v>
      </c>
      <c r="B55" s="10" t="n">
        <v>0.000487298838370701</v>
      </c>
      <c r="C55" s="10" t="n">
        <v>0.00108963332795357</v>
      </c>
      <c r="D55" s="10" t="n">
        <v>0.0017569809482196</v>
      </c>
      <c r="E55" s="10" t="n">
        <v>0.0024364941918535</v>
      </c>
      <c r="F55" s="10" t="n">
        <v>0.00312023500284431</v>
      </c>
      <c r="G55" s="10" t="n">
        <v>0.00380592559445446</v>
      </c>
      <c r="H55" s="10" t="n">
        <v>0.00449267330434586</v>
      </c>
      <c r="I55" s="10" t="n">
        <v>0.00518005770625677</v>
      </c>
      <c r="J55" s="10" t="n">
        <v>0.00586785505037642</v>
      </c>
      <c r="K55" s="10" t="n">
        <v>0.00655593537001515</v>
      </c>
      <c r="L55" s="10" t="n">
        <v>0.00724421803170729</v>
      </c>
      <c r="M55" s="10" t="n">
        <v>0.00793265036652443</v>
      </c>
      <c r="N55" s="10" t="n">
        <v>0.00862119651879233</v>
      </c>
      <c r="O55" s="10" t="n">
        <v>0.00930983123505811</v>
      </c>
      <c r="P55" s="10" t="n">
        <v>0.00999853621618685</v>
      </c>
      <c r="Q55" s="10" t="n">
        <v>0.010687297878278</v>
      </c>
      <c r="R55" s="10" t="n">
        <v>0.0113761059261595</v>
      </c>
      <c r="S55" s="10" t="n">
        <v>0.01206495241511</v>
      </c>
      <c r="T55" s="10" t="n">
        <v>0.0127538311164153</v>
      </c>
      <c r="U55" s="10" t="n">
        <v>0.0134383202099738</v>
      </c>
      <c r="V55" s="10" t="n">
        <v>0.0137139107611549</v>
      </c>
      <c r="W55" s="10" t="n">
        <v>0.0155839895013123</v>
      </c>
    </row>
    <row r="56" customFormat="false" ht="12.8" hidden="false" customHeight="false" outlineLevel="0" collapsed="false">
      <c r="C56" s="1"/>
      <c r="D56" s="1" t="s">
        <v>128</v>
      </c>
    </row>
    <row r="57" customFormat="false" ht="12.8" hidden="false" customHeight="false" outlineLevel="0" collapsed="false">
      <c r="A57" s="20" t="n">
        <v>728.734058</v>
      </c>
      <c r="B57" s="5" t="n">
        <v>728.244238</v>
      </c>
      <c r="C57" s="5" t="n">
        <v>727.158862</v>
      </c>
      <c r="D57" s="5" t="n">
        <v>725.501117</v>
      </c>
      <c r="E57" s="5" t="n">
        <v>723.277037</v>
      </c>
      <c r="F57" s="5" t="n">
        <v>720.489008</v>
      </c>
      <c r="G57" s="5" t="n">
        <v>717.138212</v>
      </c>
      <c r="H57" s="5" t="n">
        <v>713.225322</v>
      </c>
      <c r="I57" s="5" t="n">
        <v>708.750755</v>
      </c>
      <c r="J57" s="5" t="n">
        <v>703.71479</v>
      </c>
      <c r="K57" s="5" t="n">
        <v>698.117619</v>
      </c>
      <c r="L57" s="5" t="n">
        <v>691.959381</v>
      </c>
      <c r="M57" s="5" t="n">
        <v>685.240182</v>
      </c>
      <c r="N57" s="5" t="n">
        <v>677.960098</v>
      </c>
      <c r="O57" s="5" t="n">
        <v>670.119193</v>
      </c>
      <c r="P57" s="5" t="n">
        <v>661.717514</v>
      </c>
      <c r="Q57" s="0" t="n">
        <v>652.755099</v>
      </c>
      <c r="R57" s="0" t="n">
        <v>643.23198</v>
      </c>
      <c r="S57" s="0" t="n">
        <v>633.148181</v>
      </c>
      <c r="T57" s="0" t="n">
        <v>622.571971</v>
      </c>
      <c r="U57" s="0" t="n">
        <v>573.305452</v>
      </c>
      <c r="V57" s="0" t="n">
        <v>563.441707</v>
      </c>
    </row>
    <row r="58" customFormat="false" ht="12.8" hidden="false" customHeight="false" outlineLevel="0" collapsed="false">
      <c r="A58" s="19" t="n">
        <v>728.744571</v>
      </c>
      <c r="B58" s="0" t="n">
        <v>728.254713</v>
      </c>
      <c r="C58" s="0" t="n">
        <v>727.169249</v>
      </c>
      <c r="D58" s="0" t="n">
        <v>725.511373</v>
      </c>
      <c r="E58" s="0" t="n">
        <v>723.287118</v>
      </c>
      <c r="F58" s="0" t="n">
        <v>720.498872</v>
      </c>
      <c r="G58" s="0" t="n">
        <v>717.147817</v>
      </c>
      <c r="H58" s="0" t="n">
        <v>713.234629</v>
      </c>
      <c r="I58" s="0" t="n">
        <v>708.759728</v>
      </c>
      <c r="J58" s="0" t="n">
        <v>703.723392</v>
      </c>
      <c r="K58" s="0" t="n">
        <v>698.125819</v>
      </c>
      <c r="L58" s="0" t="n">
        <v>691.967149</v>
      </c>
      <c r="M58" s="0" t="n">
        <v>685.247489</v>
      </c>
      <c r="N58" s="0" t="n">
        <v>677.966921</v>
      </c>
      <c r="O58" s="0" t="n">
        <v>670.125509</v>
      </c>
      <c r="P58" s="0" t="n">
        <v>661.723305</v>
      </c>
      <c r="Q58" s="0" t="n">
        <v>652.760351</v>
      </c>
      <c r="R58" s="0" t="n">
        <v>643.23668</v>
      </c>
      <c r="S58" s="0" t="n">
        <v>633.152322</v>
      </c>
      <c r="T58" s="0" t="n">
        <v>622.57555</v>
      </c>
      <c r="U58" s="0" t="n">
        <v>573.306482</v>
      </c>
      <c r="V58" s="0" t="n">
        <v>563.442214</v>
      </c>
    </row>
    <row r="59" customFormat="false" ht="12.8" hidden="false" customHeight="false" outlineLevel="0" collapsed="false">
      <c r="A59" s="20" t="n">
        <v>728.686252</v>
      </c>
      <c r="B59" s="0" t="n">
        <v>728.196611</v>
      </c>
      <c r="C59" s="0" t="n">
        <v>727.111628</v>
      </c>
      <c r="D59" s="0" t="n">
        <v>725.454481</v>
      </c>
      <c r="E59" s="0" t="n">
        <v>723.231198</v>
      </c>
      <c r="F59" s="0" t="n">
        <v>720.444159</v>
      </c>
      <c r="G59" s="0" t="n">
        <v>717.094538</v>
      </c>
      <c r="H59" s="0" t="n">
        <v>713.183001</v>
      </c>
      <c r="I59" s="0" t="n">
        <v>708.709957</v>
      </c>
      <c r="J59" s="0" t="n">
        <v>703.675673</v>
      </c>
      <c r="K59" s="0" t="n">
        <v>698.080333</v>
      </c>
      <c r="L59" s="0" t="n">
        <v>691.924063</v>
      </c>
      <c r="M59" s="0" t="n">
        <v>685.206956</v>
      </c>
      <c r="N59" s="0" t="n">
        <v>677.929077</v>
      </c>
      <c r="O59" s="0" t="n">
        <v>670.090474</v>
      </c>
      <c r="P59" s="0" t="n">
        <v>661.69118</v>
      </c>
      <c r="Q59" s="0" t="n">
        <v>652.731219</v>
      </c>
      <c r="R59" s="0" t="n">
        <v>643.210607</v>
      </c>
      <c r="S59" s="0" t="n">
        <v>633.129354</v>
      </c>
      <c r="T59" s="0" t="n">
        <v>622.555694</v>
      </c>
      <c r="U59" s="0" t="n">
        <v>573.300767</v>
      </c>
      <c r="V59" s="0" t="n">
        <v>563.439402</v>
      </c>
    </row>
  </sheetData>
  <mergeCells count="1">
    <mergeCell ref="A1:D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7:S20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L13" activeCellId="0" sqref="L13"/>
    </sheetView>
  </sheetViews>
  <sheetFormatPr defaultRowHeight="12.8"/>
  <cols>
    <col collapsed="false" hidden="false" max="5" min="1" style="0" width="11.5204081632653"/>
    <col collapsed="false" hidden="false" max="6" min="6" style="0" width="15.8928571428571"/>
    <col collapsed="false" hidden="false" max="7" min="7" style="0" width="18"/>
    <col collapsed="false" hidden="false" max="8" min="8" style="0" width="11.5204081632653"/>
    <col collapsed="false" hidden="false" max="9" min="9" style="0" width="12.8979591836735"/>
    <col collapsed="false" hidden="false" max="12" min="10" style="0" width="18"/>
    <col collapsed="false" hidden="false" max="13" min="13" style="0" width="12.8979591836735"/>
    <col collapsed="false" hidden="false" max="1025" min="14" style="0" width="11.5204081632653"/>
  </cols>
  <sheetData>
    <row r="7" customFormat="false" ht="12.8" hidden="false" customHeight="false" outlineLevel="0" collapsed="false">
      <c r="E7" s="1"/>
      <c r="F7" s="24" t="s">
        <v>131</v>
      </c>
      <c r="G7" s="24"/>
      <c r="H7" s="24"/>
      <c r="I7" s="24"/>
      <c r="J7" s="25"/>
      <c r="L7" s="26" t="s">
        <v>132</v>
      </c>
      <c r="M7" s="26"/>
      <c r="N7" s="26"/>
    </row>
    <row r="8" customFormat="false" ht="12.8" hidden="false" customHeight="false" outlineLevel="0" collapsed="false">
      <c r="E8" s="1" t="s">
        <v>133</v>
      </c>
      <c r="F8" s="1" t="s">
        <v>134</v>
      </c>
      <c r="G8" s="1" t="s">
        <v>118</v>
      </c>
      <c r="H8" s="1" t="s">
        <v>119</v>
      </c>
      <c r="I8" s="1" t="s">
        <v>120</v>
      </c>
      <c r="J8" s="1"/>
      <c r="K8" s="1" t="s">
        <v>133</v>
      </c>
      <c r="L8" s="27" t="s">
        <v>118</v>
      </c>
      <c r="M8" s="27" t="s">
        <v>119</v>
      </c>
      <c r="N8" s="27" t="s">
        <v>120</v>
      </c>
      <c r="P8" s="1" t="s">
        <v>133</v>
      </c>
      <c r="Q8" s="27" t="s">
        <v>118</v>
      </c>
      <c r="R8" s="27" t="s">
        <v>119</v>
      </c>
      <c r="S8" s="27" t="s">
        <v>120</v>
      </c>
    </row>
    <row r="9" customFormat="false" ht="12.8" hidden="false" customHeight="false" outlineLevel="0" collapsed="false">
      <c r="D9" s="0" t="n">
        <v>6</v>
      </c>
      <c r="E9" s="1" t="n">
        <v>5</v>
      </c>
      <c r="F9" s="5" t="n">
        <f aca="false">'SS Rod Radial Profile_10'!C42</f>
        <v>92.3834112916388</v>
      </c>
      <c r="G9" s="5" t="n">
        <f aca="false">'SS Rod Radial Profile_5'!D43</f>
        <v>89.1320761111111</v>
      </c>
      <c r="H9" s="0" t="n">
        <f aca="false">'SS Rod Radial Profile_5'!D44</f>
        <v>89.1368938888889</v>
      </c>
      <c r="I9" s="0" t="n">
        <f aca="false">'SS Rod Radial Profile_5'!D45</f>
        <v>89.109115</v>
      </c>
      <c r="K9" s="1" t="n">
        <v>5</v>
      </c>
      <c r="L9" s="28" t="n">
        <f aca="false">ABS(G9-$F9)</f>
        <v>3.25133518052772</v>
      </c>
      <c r="M9" s="28" t="n">
        <f aca="false">ABS(H9-$F9)</f>
        <v>3.24651740274992</v>
      </c>
      <c r="N9" s="28" t="n">
        <f aca="false">ABS(I9-$F9)</f>
        <v>3.27429629163878</v>
      </c>
      <c r="P9" s="1" t="n">
        <f aca="false">LN(K9)</f>
        <v>1.6094379124341</v>
      </c>
      <c r="Q9" s="0" t="n">
        <f aca="false">LN(ABS(L9))</f>
        <v>1.17906573675401</v>
      </c>
      <c r="R9" s="0" t="n">
        <f aca="false">LN(ABS(M9))</f>
        <v>1.17758285341713</v>
      </c>
      <c r="S9" s="0" t="n">
        <f aca="false">LN(ABS(N9))</f>
        <v>1.1861029732167</v>
      </c>
    </row>
    <row r="10" customFormat="false" ht="12.8" hidden="false" customHeight="false" outlineLevel="0" collapsed="false">
      <c r="D10" s="0" t="n">
        <v>12</v>
      </c>
      <c r="E10" s="1" t="n">
        <v>10</v>
      </c>
      <c r="F10" s="5" t="n">
        <f aca="false">F9</f>
        <v>92.3834112916388</v>
      </c>
      <c r="G10" s="5" t="n">
        <f aca="false">'SS Rod Radial Profile_10'!D43</f>
        <v>91.2587783333333</v>
      </c>
      <c r="H10" s="0" t="n">
        <f aca="false">'SS Rod Radial Profile_10'!D44</f>
        <v>91.2641861111111</v>
      </c>
      <c r="I10" s="0" t="n">
        <f aca="false">'SS Rod Radial Profile_10'!D45</f>
        <v>91.2339733333334</v>
      </c>
      <c r="K10" s="1" t="n">
        <v>10</v>
      </c>
      <c r="L10" s="28" t="n">
        <f aca="false">ABS(G10-$F10)</f>
        <v>1.12463295830548</v>
      </c>
      <c r="M10" s="28" t="n">
        <f aca="false">ABS(H10-$F10)</f>
        <v>1.11922518052771</v>
      </c>
      <c r="N10" s="28" t="n">
        <f aca="false">ABS(I10-$F10)</f>
        <v>1.14943795830544</v>
      </c>
      <c r="P10" s="1" t="n">
        <f aca="false">LN(K10)</f>
        <v>2.30258509299405</v>
      </c>
      <c r="Q10" s="0" t="n">
        <f aca="false">LN(ABS(L10))</f>
        <v>0.117456723138229</v>
      </c>
      <c r="R10" s="0" t="n">
        <f aca="false">LN(ABS(M10))</f>
        <v>0.112636642800556</v>
      </c>
      <c r="S10" s="0" t="n">
        <f aca="false">LN(ABS(N10))</f>
        <v>0.139273090998481</v>
      </c>
    </row>
    <row r="11" customFormat="false" ht="12.8" hidden="false" customHeight="false" outlineLevel="0" collapsed="false">
      <c r="D11" s="0" t="n">
        <v>48</v>
      </c>
      <c r="E11" s="1" t="n">
        <v>20</v>
      </c>
      <c r="F11" s="5" t="n">
        <f aca="false">F10</f>
        <v>92.3834112916388</v>
      </c>
      <c r="G11" s="5" t="n">
        <f aca="false">'SS Rod Radial Profile_20'!D43</f>
        <v>91.8290838888889</v>
      </c>
      <c r="H11" s="0" t="n">
        <f aca="false">'SS Rod Radial Profile_20'!D45</f>
        <v>91.8038055555556</v>
      </c>
      <c r="I11" s="0" t="n">
        <f aca="false">'SS Rod Radial Profile_20'!D45</f>
        <v>91.8038055555556</v>
      </c>
      <c r="K11" s="1" t="n">
        <v>20</v>
      </c>
      <c r="L11" s="28" t="n">
        <f aca="false">ABS(G11-$F11)</f>
        <v>0.554327402749905</v>
      </c>
      <c r="M11" s="28" t="n">
        <f aca="false">ABS(H11-$F11)</f>
        <v>0.579605736083266</v>
      </c>
      <c r="N11" s="28" t="n">
        <f aca="false">ABS(I11-$F11)</f>
        <v>0.579605736083266</v>
      </c>
      <c r="P11" s="1" t="n">
        <f aca="false">LN(K11)</f>
        <v>2.99573227355399</v>
      </c>
      <c r="Q11" s="0" t="n">
        <f aca="false">LN(ABS(L11))</f>
        <v>-0.589999787101611</v>
      </c>
      <c r="R11" s="0" t="n">
        <f aca="false">LN(ABS(M11))</f>
        <v>-0.545407171960588</v>
      </c>
      <c r="S11" s="0" t="n">
        <f aca="false">LN(ABS(N11))</f>
        <v>-0.545407171960588</v>
      </c>
    </row>
    <row r="12" customFormat="false" ht="12.8" hidden="false" customHeight="false" outlineLevel="0" collapsed="false">
      <c r="E12" s="1"/>
      <c r="F12" s="5"/>
      <c r="G12" s="5"/>
    </row>
    <row r="15" customFormat="false" ht="12.8" hidden="false" customHeight="false" outlineLevel="0" collapsed="false">
      <c r="F15" s="1"/>
    </row>
    <row r="16" customFormat="false" ht="12.8" hidden="false" customHeight="false" outlineLevel="0" collapsed="false">
      <c r="F16" s="1"/>
      <c r="M16" s="15"/>
      <c r="N16" s="1"/>
    </row>
    <row r="17" customFormat="false" ht="12.8" hidden="false" customHeight="false" outlineLevel="0" collapsed="false">
      <c r="F17" s="1"/>
      <c r="G17" s="1"/>
      <c r="H17" s="1"/>
      <c r="I17" s="1"/>
      <c r="J17" s="1"/>
      <c r="K17" s="1"/>
      <c r="L17" s="1"/>
      <c r="M17" s="1"/>
      <c r="N17" s="1"/>
    </row>
    <row r="18" customFormat="false" ht="12.8" hidden="false" customHeight="false" outlineLevel="0" collapsed="false">
      <c r="F18" s="1"/>
      <c r="G18" s="5"/>
      <c r="H18" s="5"/>
      <c r="I18" s="1"/>
      <c r="J18" s="1"/>
      <c r="K18" s="1"/>
      <c r="L18" s="1"/>
      <c r="M18" s="1"/>
      <c r="N18" s="1"/>
    </row>
    <row r="19" customFormat="false" ht="12.8" hidden="false" customHeight="false" outlineLevel="0" collapsed="false">
      <c r="F19" s="1"/>
      <c r="G19" s="5"/>
      <c r="H19" s="5"/>
      <c r="I19" s="1"/>
      <c r="J19" s="1"/>
      <c r="K19" s="1"/>
      <c r="L19" s="27" t="s">
        <v>118</v>
      </c>
      <c r="M19" s="27" t="s">
        <v>119</v>
      </c>
      <c r="N19" s="27" t="s">
        <v>120</v>
      </c>
    </row>
    <row r="20" customFormat="false" ht="12.8" hidden="false" customHeight="false" outlineLevel="0" collapsed="false">
      <c r="F20" s="1"/>
      <c r="G20" s="5"/>
      <c r="H20" s="5"/>
      <c r="I20" s="1"/>
      <c r="J20" s="1"/>
      <c r="K20" s="0" t="s">
        <v>135</v>
      </c>
      <c r="L20" s="0" t="n">
        <f aca="false">LN((L11-L10)/(L10-L9))/LN(0.5)</f>
        <v>1.89881105165042</v>
      </c>
      <c r="M20" s="0" t="n">
        <f aca="false">LN((M11-M10)/(M10-M9))/LN(0.5)</f>
        <v>1.97900398741065</v>
      </c>
      <c r="N20" s="0" t="n">
        <f aca="false">LN((N11-N10)/(N10-N9))/LN(0.5)</f>
        <v>1.89875754942111</v>
      </c>
      <c r="Q20" s="0" t="n">
        <f aca="false">SLOPE(Q9:Q11,$P9:$P11)</f>
        <v>-1.27611102913707</v>
      </c>
      <c r="R20" s="0" t="n">
        <f aca="false">SLOPE(R9:R11,$P9:$P11)</f>
        <v>-1.24287458255679</v>
      </c>
      <c r="S20" s="0" t="n">
        <f aca="false">SLOPE(S9:S11,$P9:$P11)</f>
        <v>-1.2490205498481</v>
      </c>
    </row>
  </sheetData>
  <mergeCells count="2">
    <mergeCell ref="F7:I7"/>
    <mergeCell ref="L7:N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7:R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J26" activeCellId="0" sqref="J26"/>
    </sheetView>
  </sheetViews>
  <sheetFormatPr defaultRowHeight="12.8"/>
  <cols>
    <col collapsed="false" hidden="false" max="1025" min="1" style="0" width="11.5204081632653"/>
  </cols>
  <sheetData>
    <row r="7" customFormat="false" ht="12.8" hidden="false" customHeight="false" outlineLevel="0" collapsed="false"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</row>
    <row r="8" customFormat="false" ht="12.8" hidden="false" customHeight="false" outlineLevel="0" collapsed="false">
      <c r="E8" s="0" t="s">
        <v>136</v>
      </c>
      <c r="G8" s="0" t="n">
        <v>0.00100024498402407</v>
      </c>
      <c r="H8" s="0" t="n">
        <v>0.00223661577843101</v>
      </c>
      <c r="I8" s="0" t="n">
        <v>0.00360643457792444</v>
      </c>
      <c r="J8" s="0" t="n">
        <v>0.00500122492012035</v>
      </c>
      <c r="K8" s="0" t="n">
        <v>0.00640469290057516</v>
      </c>
      <c r="L8" s="0" t="n">
        <v>0.00781216306230125</v>
      </c>
      <c r="M8" s="0" t="n">
        <v>0.00922180309839413</v>
      </c>
      <c r="N8" s="0" t="n">
        <v>0.0106327500286323</v>
      </c>
      <c r="O8" s="0" t="n">
        <v>0.0120445445770884</v>
      </c>
      <c r="P8" s="0" t="n">
        <v>0.0134383202099738</v>
      </c>
      <c r="Q8" s="0" t="n">
        <v>0.0137139107611549</v>
      </c>
      <c r="R8" s="0" t="n">
        <v>0.0155839895013123</v>
      </c>
    </row>
    <row r="9" customFormat="false" ht="12.8" hidden="false" customHeight="false" outlineLevel="0" collapsed="false">
      <c r="E9" s="0" t="s">
        <v>137</v>
      </c>
      <c r="F9" s="0" t="n">
        <v>0</v>
      </c>
      <c r="G9" s="0" t="n">
        <v>0.0014145600221025</v>
      </c>
      <c r="H9" s="0" t="n">
        <v>0.002829120044205</v>
      </c>
      <c r="I9" s="0" t="n">
        <v>0.0042436800663075</v>
      </c>
      <c r="J9" s="0" t="n">
        <v>0.00565824008841</v>
      </c>
      <c r="K9" s="0" t="n">
        <v>0.0070728001105125</v>
      </c>
      <c r="L9" s="0" t="n">
        <v>0.008487360132615</v>
      </c>
      <c r="M9" s="0" t="n">
        <v>0.0099019201547175</v>
      </c>
      <c r="N9" s="0" t="n">
        <v>0.01131648017682</v>
      </c>
      <c r="O9" s="0" t="n">
        <v>0.0127310401989225</v>
      </c>
      <c r="P9" s="0" t="n">
        <v>0.0134383202099738</v>
      </c>
      <c r="Q9" s="0" t="n">
        <v>0.0146489501312336</v>
      </c>
      <c r="R9" s="0" t="n">
        <v>0.0155839895013123</v>
      </c>
    </row>
    <row r="10" customFormat="false" ht="12.8" hidden="false" customHeight="false" outlineLevel="0" collapsed="false">
      <c r="E10" s="0" t="s">
        <v>138</v>
      </c>
      <c r="F10" s="0" t="n">
        <v>6.28626423713656E-006</v>
      </c>
      <c r="G10" s="0" t="n">
        <v>1.88587927114097E-005</v>
      </c>
      <c r="H10" s="0" t="n">
        <v>3.14313211856828E-005</v>
      </c>
      <c r="I10" s="0" t="n">
        <v>4.40038496599559E-005</v>
      </c>
      <c r="J10" s="0" t="n">
        <v>5.65763781342291E-005</v>
      </c>
      <c r="K10" s="0" t="n">
        <v>6.91489066085022E-005</v>
      </c>
      <c r="L10" s="0" t="n">
        <v>8.17214350827754E-005</v>
      </c>
      <c r="M10" s="0" t="n">
        <v>9.42939635570485E-005</v>
      </c>
      <c r="N10" s="0" t="n">
        <v>0.000106866492031322</v>
      </c>
      <c r="O10" s="0" t="n">
        <v>5.81479441935131E-005</v>
      </c>
      <c r="P10" s="0" t="n">
        <v>8.33162672705462E-005</v>
      </c>
      <c r="Q10" s="0" t="n">
        <v>8.88096475301427E-005</v>
      </c>
    </row>
    <row r="11" customFormat="false" ht="12.8" hidden="false" customHeight="false" outlineLevel="0" collapsed="false">
      <c r="F11" s="0" t="n">
        <v>1</v>
      </c>
      <c r="G11" s="0" t="n">
        <v>2</v>
      </c>
      <c r="H11" s="0" t="n">
        <v>3</v>
      </c>
      <c r="I11" s="0" t="n">
        <v>4</v>
      </c>
      <c r="J11" s="0" t="n">
        <v>5</v>
      </c>
      <c r="K11" s="0" t="n">
        <v>6</v>
      </c>
      <c r="L11" s="0" t="n">
        <v>7</v>
      </c>
      <c r="M11" s="0" t="n">
        <v>8</v>
      </c>
      <c r="N11" s="0" t="n">
        <v>9</v>
      </c>
      <c r="O11" s="0" t="n">
        <v>10</v>
      </c>
    </row>
    <row r="12" customFormat="false" ht="12.8" hidden="false" customHeight="false" outlineLevel="0" collapsed="false">
      <c r="E12" s="0" t="s">
        <v>139</v>
      </c>
      <c r="F12" s="0" t="n">
        <f aca="false">PI()*(G9^2-F9^2)</f>
        <v>6.28626424431966E-006</v>
      </c>
      <c r="G12" s="0" t="n">
        <f aca="false">PI()*(H9^2-G9^2)</f>
        <v>1.8858792732959E-005</v>
      </c>
      <c r="H12" s="0" t="n">
        <f aca="false">PI()*(I9^2-H9^2)</f>
        <v>3.14313212215983E-005</v>
      </c>
      <c r="I12" s="0" t="n">
        <f aca="false">PI()*(J9^2-I9^2)</f>
        <v>4.40038497102376E-005</v>
      </c>
      <c r="J12" s="0" t="n">
        <f aca="false">PI()*(K9^2-J9^2)</f>
        <v>5.6576378198877E-005</v>
      </c>
      <c r="K12" s="0" t="n">
        <f aca="false">PI()*(L9^2-K9^2)</f>
        <v>6.91489066875163E-005</v>
      </c>
      <c r="L12" s="0" t="n">
        <f aca="false">PI()*(M9^2-L9^2)</f>
        <v>8.17214351761556E-005</v>
      </c>
      <c r="M12" s="0" t="n">
        <f aca="false">PI()*(N9^2-M9^2)</f>
        <v>9.4293963664795E-005</v>
      </c>
      <c r="N12" s="0" t="n">
        <f aca="false">PI()*(O9^2-N9^2)</f>
        <v>0.000106866492153434</v>
      </c>
      <c r="O12" s="0" t="n">
        <f aca="false">PI()*(P9^2-O9^2)</f>
        <v>5.81479442599611E-005</v>
      </c>
      <c r="P12" s="0" t="n">
        <f aca="false">PI()*(Q9^2-Q8^2)</f>
        <v>8.33162673657455E-005</v>
      </c>
      <c r="Q12" s="0" t="n">
        <f aca="false">PI()*(R9^2-Q9^2)</f>
        <v>8.88096476316187E-005</v>
      </c>
    </row>
    <row r="13" customFormat="false" ht="12.8" hidden="false" customHeight="false" outlineLevel="0" collapsed="false">
      <c r="E13" s="0" t="s">
        <v>140</v>
      </c>
      <c r="F13" s="0" t="n">
        <f aca="false">F12</f>
        <v>6.28626424431966E-006</v>
      </c>
      <c r="G13" s="0" t="n">
        <f aca="false">G12+F13</f>
        <v>2.51450569772787E-005</v>
      </c>
      <c r="H13" s="0" t="n">
        <f aca="false">H12+G13</f>
        <v>5.6576378198877E-005</v>
      </c>
      <c r="I13" s="0" t="n">
        <f aca="false">I12+H13</f>
        <v>0.000100580227909115</v>
      </c>
      <c r="J13" s="0" t="n">
        <f aca="false">J12+I13</f>
        <v>0.000157156606107992</v>
      </c>
      <c r="K13" s="0" t="n">
        <f aca="false">K12+J13</f>
        <v>0.000226305512795508</v>
      </c>
      <c r="L13" s="0" t="n">
        <f aca="false">L12+K13</f>
        <v>0.000308026947971663</v>
      </c>
      <c r="M13" s="0" t="n">
        <f aca="false">M12+L13</f>
        <v>0.000402320911636459</v>
      </c>
      <c r="N13" s="0" t="n">
        <f aca="false">N12+M13</f>
        <v>0.000509187403789893</v>
      </c>
      <c r="O13" s="0" t="n">
        <f aca="false">O12+N13</f>
        <v>0.000567335348049854</v>
      </c>
    </row>
    <row r="14" customFormat="false" ht="12.8" hidden="false" customHeight="false" outlineLevel="0" collapsed="false">
      <c r="O14" s="0" t="n">
        <f aca="false">PI()*(R_fuel/100/t_ft_m )^2</f>
        <v>0.00056733534804985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6:R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0" activeCellId="0" sqref="L20"/>
    </sheetView>
  </sheetViews>
  <sheetFormatPr defaultRowHeight="12.8"/>
  <cols>
    <col collapsed="false" hidden="false" max="1025" min="1" style="0" width="11.5204081632653"/>
  </cols>
  <sheetData>
    <row r="6" customFormat="false" ht="12.8" hidden="false" customHeight="false" outlineLevel="0" collapsed="false">
      <c r="C6" s="0" t="s">
        <v>141</v>
      </c>
    </row>
    <row r="7" customFormat="false" ht="12.8" hidden="false" customHeight="false" outlineLevel="0" collapsed="false">
      <c r="D7" s="0" t="s">
        <v>142</v>
      </c>
      <c r="E7" s="0" t="s">
        <v>125</v>
      </c>
    </row>
    <row r="8" customFormat="false" ht="12.8" hidden="false" customHeight="false" outlineLevel="0" collapsed="false">
      <c r="C8" s="0" t="s">
        <v>143</v>
      </c>
      <c r="D8" s="10" t="n">
        <v>5.81479441935131E-005</v>
      </c>
      <c r="E8" s="10" t="n">
        <f aca="false">Sheet6!O12</f>
        <v>5.81479442599611E-005</v>
      </c>
    </row>
    <row r="9" customFormat="false" ht="12.8" hidden="false" customHeight="false" outlineLevel="0" collapsed="false">
      <c r="C9" s="0" t="s">
        <v>20</v>
      </c>
      <c r="E9" s="0" t="n">
        <f aca="false">dz/t_ft_m</f>
        <v>0.6000656167979</v>
      </c>
    </row>
    <row r="10" customFormat="false" ht="12.8" hidden="false" customHeight="false" outlineLevel="0" collapsed="false">
      <c r="C10" s="0" t="s">
        <v>144</v>
      </c>
      <c r="E10" s="0" t="n">
        <f aca="false">Problem_Setup!A25</f>
        <v>2036.85287204149</v>
      </c>
    </row>
    <row r="11" customFormat="false" ht="12.8" hidden="false" customHeight="false" outlineLevel="0" collapsed="false">
      <c r="C11" s="0" t="s">
        <v>145</v>
      </c>
      <c r="E11" s="0" t="n">
        <f aca="false">E10*E9*E8</f>
        <v>0.0710710559368064</v>
      </c>
    </row>
    <row r="12" customFormat="false" ht="12.8" hidden="false" customHeight="false" outlineLevel="0" collapsed="false">
      <c r="M12" s="0" t="n">
        <f aca="false">PI()*(R_fuel/100/t_ft_m )^2</f>
        <v>0.00056733534804985</v>
      </c>
    </row>
    <row r="13" customFormat="false" ht="12.8" hidden="false" customHeight="false" outlineLevel="0" collapsed="false">
      <c r="C13" s="0" t="s">
        <v>139</v>
      </c>
      <c r="D13" s="0" t="n">
        <f aca="false">Sheet6!F12</f>
        <v>6.28626424431966E-006</v>
      </c>
      <c r="E13" s="0" t="n">
        <f aca="false">Sheet6!G12</f>
        <v>1.8858792732959E-005</v>
      </c>
      <c r="F13" s="0" t="n">
        <f aca="false">Sheet6!H12</f>
        <v>3.14313212215983E-005</v>
      </c>
      <c r="G13" s="0" t="n">
        <f aca="false">Sheet6!I12</f>
        <v>4.40038497102376E-005</v>
      </c>
      <c r="H13" s="0" t="n">
        <f aca="false">Sheet6!J12</f>
        <v>5.6576378198877E-005</v>
      </c>
      <c r="I13" s="0" t="n">
        <f aca="false">Sheet6!K12</f>
        <v>6.91489066875163E-005</v>
      </c>
      <c r="J13" s="0" t="n">
        <f aca="false">Sheet6!L12</f>
        <v>8.17214351761556E-005</v>
      </c>
      <c r="K13" s="0" t="n">
        <f aca="false">Sheet6!M12</f>
        <v>9.4293963664795E-005</v>
      </c>
      <c r="L13" s="0" t="n">
        <f aca="false">Sheet6!N12</f>
        <v>0.000106866492153434</v>
      </c>
      <c r="M13" s="0" t="n">
        <f aca="false">Sheet6!O12</f>
        <v>5.81479442599611E-005</v>
      </c>
      <c r="N13" s="0" t="n">
        <f aca="false">Sheet6!P12</f>
        <v>8.33162673657455E-005</v>
      </c>
      <c r="O13" s="0" t="n">
        <f aca="false">Sheet6!Q12</f>
        <v>8.88096476316187E-005</v>
      </c>
    </row>
    <row r="14" customFormat="false" ht="12.8" hidden="false" customHeight="false" outlineLevel="0" collapsed="false">
      <c r="C14" s="0" t="s">
        <v>140</v>
      </c>
      <c r="D14" s="0" t="n">
        <f aca="false">D13</f>
        <v>6.28626424431966E-006</v>
      </c>
      <c r="E14" s="0" t="n">
        <f aca="false">E13+D14</f>
        <v>2.51450569772787E-005</v>
      </c>
      <c r="F14" s="0" t="n">
        <f aca="false">F13+E14</f>
        <v>5.6576378198877E-005</v>
      </c>
      <c r="G14" s="0" t="n">
        <f aca="false">G13+F14</f>
        <v>0.000100580227909115</v>
      </c>
      <c r="H14" s="0" t="n">
        <f aca="false">H13+G14</f>
        <v>0.000157156606107992</v>
      </c>
      <c r="I14" s="0" t="n">
        <f aca="false">I13+H14</f>
        <v>0.000226305512795508</v>
      </c>
      <c r="J14" s="0" t="n">
        <f aca="false">J13+I14</f>
        <v>0.000308026947971663</v>
      </c>
      <c r="K14" s="0" t="n">
        <f aca="false">K13+J14</f>
        <v>0.000402320911636459</v>
      </c>
      <c r="L14" s="0" t="n">
        <f aca="false">L13+K14</f>
        <v>0.000509187403789893</v>
      </c>
      <c r="M14" s="0" t="n">
        <f aca="false">M13+L14</f>
        <v>0.000567335348049854</v>
      </c>
      <c r="N14" s="0" t="n">
        <f aca="false">N13+M14</f>
        <v>0.000650651615415599</v>
      </c>
      <c r="O14" s="0" t="n">
        <f aca="false">O13+N14</f>
        <v>0.000739461263047218</v>
      </c>
    </row>
    <row r="15" customFormat="false" ht="12.8" hidden="false" customHeight="false" outlineLevel="0" collapsed="false">
      <c r="C15" s="0" t="s">
        <v>145</v>
      </c>
      <c r="D15" s="0" t="n">
        <f aca="false">D13*dz/t_ft_m*Problem_Setup!$A$25</f>
        <v>0.0076833573985731</v>
      </c>
      <c r="E15" s="0" t="n">
        <f aca="false">E13*dz/t_ft_m*Problem_Setup!$A$25</f>
        <v>0.0230500721957193</v>
      </c>
      <c r="F15" s="0" t="n">
        <f aca="false">F13*dz/t_ft_m*Problem_Setup!$A$25</f>
        <v>0.0384167869928655</v>
      </c>
      <c r="G15" s="0" t="n">
        <f aca="false">G13*dz/t_ft_m*Problem_Setup!$A$25</f>
        <v>0.0537835017900117</v>
      </c>
      <c r="H15" s="0" t="n">
        <f aca="false">H13*dz/t_ft_m*Problem_Setup!$A$25</f>
        <v>0.0691502165871579</v>
      </c>
      <c r="I15" s="0" t="n">
        <f aca="false">I13*dz/t_ft_m*Problem_Setup!$A$25</f>
        <v>0.0845169313843042</v>
      </c>
      <c r="J15" s="0" t="n">
        <f aca="false">J13*dz/t_ft_m*Problem_Setup!$A$25</f>
        <v>0.0998836461814503</v>
      </c>
      <c r="K15" s="0" t="n">
        <f aca="false">K13*dz/t_ft_m*Problem_Setup!$A$25</f>
        <v>0.115250360978597</v>
      </c>
      <c r="L15" s="0" t="n">
        <f aca="false">L13*dz/t_ft_m*Problem_Setup!$A$25</f>
        <v>0.130617075775743</v>
      </c>
      <c r="M15" s="0" t="n">
        <f aca="false">M13*dz/t_ft_m*Problem_Setup!$A$25</f>
        <v>0.0710710559368064</v>
      </c>
      <c r="N15" s="0" t="n">
        <v>0</v>
      </c>
      <c r="O15" s="0" t="n">
        <v>0</v>
      </c>
    </row>
    <row r="16" customFormat="false" ht="12.8" hidden="false" customHeight="false" outlineLevel="0" collapsed="false">
      <c r="C16" s="0" t="s">
        <v>146</v>
      </c>
      <c r="D16" s="0" t="n">
        <f aca="false">D14*dz/t_ft_m*Problem_Setup!$A$25</f>
        <v>0.0076833573985731</v>
      </c>
      <c r="E16" s="0" t="n">
        <f aca="false">E14*dz/t_ft_m*Problem_Setup!$A$25</f>
        <v>0.0307334295942924</v>
      </c>
      <c r="F16" s="0" t="n">
        <f aca="false">F14*dz/t_ft_m*Problem_Setup!$A$25</f>
        <v>0.0691502165871579</v>
      </c>
      <c r="G16" s="0" t="n">
        <f aca="false">G14*dz/t_ft_m*Problem_Setup!$A$25</f>
        <v>0.12293371837717</v>
      </c>
      <c r="H16" s="0" t="n">
        <f aca="false">H14*dz/t_ft_m*Problem_Setup!$A$25</f>
        <v>0.192083934964328</v>
      </c>
      <c r="I16" s="0" t="n">
        <f aca="false">I14*dz/t_ft_m*Problem_Setup!$A$25</f>
        <v>0.276600866348632</v>
      </c>
      <c r="J16" s="0" t="n">
        <f aca="false">J14*dz/t_ft_m*Problem_Setup!$A$25</f>
        <v>0.376484512530082</v>
      </c>
      <c r="K16" s="0" t="n">
        <f aca="false">K14*dz/t_ft_m*Problem_Setup!$A$25</f>
        <v>0.491734873508679</v>
      </c>
      <c r="L16" s="0" t="n">
        <f aca="false">L14*dz/t_ft_m*Problem_Setup!$A$25</f>
        <v>0.622351949284421</v>
      </c>
      <c r="M16" s="0" t="n">
        <f aca="false">M14*dz/t_ft_m*Problem_Setup!$A$25</f>
        <v>0.693423005221228</v>
      </c>
    </row>
    <row r="18" customFormat="false" ht="12.8" hidden="false" customHeight="false" outlineLevel="0" collapsed="false">
      <c r="D18" s="0" t="n">
        <v>1</v>
      </c>
      <c r="E18" s="0" t="n">
        <v>2</v>
      </c>
      <c r="F18" s="0" t="n">
        <v>3</v>
      </c>
      <c r="G18" s="0" t="n">
        <v>4</v>
      </c>
      <c r="H18" s="0" t="n">
        <v>5</v>
      </c>
      <c r="I18" s="0" t="n">
        <v>6</v>
      </c>
      <c r="J18" s="0" t="n">
        <v>7</v>
      </c>
      <c r="K18" s="0" t="n">
        <v>8</v>
      </c>
      <c r="L18" s="0" t="n">
        <v>9</v>
      </c>
      <c r="M18" s="0" t="n">
        <v>10</v>
      </c>
      <c r="N18" s="0" t="n">
        <v>11</v>
      </c>
      <c r="O18" s="0" t="n">
        <v>12</v>
      </c>
    </row>
    <row r="19" customFormat="false" ht="12.8" hidden="false" customHeight="false" outlineLevel="0" collapsed="false">
      <c r="L19" s="0" t="n">
        <v>0.130617075775743</v>
      </c>
      <c r="M19" s="10" t="n">
        <v>0.0710710559368011</v>
      </c>
      <c r="N19" s="0" t="n">
        <v>0</v>
      </c>
      <c r="O19" s="0" t="n">
        <v>0</v>
      </c>
      <c r="P19" s="0" t="s">
        <v>147</v>
      </c>
      <c r="R19" s="0" t="e">
        <f aca="false">#REF!!J37</f>
        <v>#REF!</v>
      </c>
    </row>
    <row r="20" customFormat="false" ht="12.8" hidden="false" customHeight="false" outlineLevel="0" collapsed="false">
      <c r="M20" s="0" t="n">
        <v>0.656927057721615</v>
      </c>
      <c r="N20" s="0" t="n">
        <v>0.727998113514803</v>
      </c>
      <c r="O20" s="0" t="n">
        <v>0.727998113514803</v>
      </c>
      <c r="P20" s="0" t="s">
        <v>148</v>
      </c>
      <c r="R20" s="0" t="n">
        <v>4</v>
      </c>
    </row>
    <row r="21" customFormat="false" ht="12.8" hidden="false" customHeight="false" outlineLevel="0" collapsed="false">
      <c r="M21" s="0" t="n">
        <f aca="false">M20+M22</f>
        <v>0.727998113658421</v>
      </c>
      <c r="N21" s="0" t="n">
        <f aca="false">N20+N22</f>
        <v>0.727998113514803</v>
      </c>
      <c r="O21" s="0" t="n">
        <f aca="false">O20+O22</f>
        <v>0.727998113514803</v>
      </c>
      <c r="P21" s="0" t="s">
        <v>149</v>
      </c>
      <c r="R21" s="0" t="e">
        <f aca="false">Sheet8!R19/Sheet8!R20</f>
        <v>#REF!</v>
      </c>
    </row>
    <row r="22" customFormat="false" ht="12.8" hidden="false" customHeight="false" outlineLevel="0" collapsed="false">
      <c r="D22" s="0" t="n">
        <f aca="false">D15</f>
        <v>0.0076833573985731</v>
      </c>
      <c r="E22" s="0" t="n">
        <f aca="false">E15</f>
        <v>0.0230500721957193</v>
      </c>
      <c r="F22" s="0" t="n">
        <f aca="false">F15</f>
        <v>0.0384167869928655</v>
      </c>
      <c r="G22" s="0" t="n">
        <f aca="false">G15</f>
        <v>0.0537835017900117</v>
      </c>
      <c r="H22" s="0" t="n">
        <f aca="false">H15</f>
        <v>0.0691502165871579</v>
      </c>
      <c r="I22" s="0" t="n">
        <f aca="false">I15</f>
        <v>0.0845169313843042</v>
      </c>
      <c r="J22" s="0" t="n">
        <f aca="false">J15</f>
        <v>0.0998836461814503</v>
      </c>
      <c r="K22" s="0" t="n">
        <f aca="false">K15</f>
        <v>0.115250360978597</v>
      </c>
      <c r="L22" s="0" t="n">
        <f aca="false">L15</f>
        <v>0.130617075775743</v>
      </c>
      <c r="M22" s="0" t="n">
        <f aca="false">M15</f>
        <v>0.0710710559368064</v>
      </c>
      <c r="N22" s="0" t="n">
        <f aca="false">N15</f>
        <v>0</v>
      </c>
      <c r="O22" s="0" t="n">
        <f aca="false">O15</f>
        <v>0</v>
      </c>
      <c r="P22" s="0" t="s">
        <v>150</v>
      </c>
    </row>
    <row r="23" customFormat="false" ht="12.8" hidden="false" customHeight="false" outlineLevel="0" collapsed="false">
      <c r="D23" s="0" t="n">
        <f aca="false">C24</f>
        <v>0</v>
      </c>
      <c r="E23" s="0" t="n">
        <f aca="false">D24</f>
        <v>0.0076833573985731</v>
      </c>
      <c r="F23" s="0" t="n">
        <f aca="false">E24</f>
        <v>0.0307334295942924</v>
      </c>
      <c r="G23" s="0" t="n">
        <f aca="false">F24</f>
        <v>0.0691502165871579</v>
      </c>
      <c r="H23" s="0" t="n">
        <f aca="false">G24</f>
        <v>0.12293371837717</v>
      </c>
      <c r="I23" s="0" t="n">
        <f aca="false">H24</f>
        <v>0.192083934964328</v>
      </c>
      <c r="J23" s="0" t="n">
        <f aca="false">I24</f>
        <v>0.276600866348632</v>
      </c>
      <c r="K23" s="0" t="n">
        <f aca="false">J24</f>
        <v>0.376484512530082</v>
      </c>
      <c r="L23" s="0" t="n">
        <f aca="false">K24</f>
        <v>0.491734873508679</v>
      </c>
      <c r="M23" s="0" t="n">
        <f aca="false">L24</f>
        <v>0.622351949284421</v>
      </c>
      <c r="N23" s="0" t="n">
        <f aca="false">M24</f>
        <v>0.693423005221228</v>
      </c>
      <c r="O23" s="0" t="n">
        <f aca="false">N24</f>
        <v>0.693423005221228</v>
      </c>
      <c r="P23" s="0" t="s">
        <v>148</v>
      </c>
    </row>
    <row r="24" customFormat="false" ht="12.8" hidden="false" customHeight="false" outlineLevel="0" collapsed="false">
      <c r="D24" s="0" t="n">
        <f aca="false">D16</f>
        <v>0.0076833573985731</v>
      </c>
      <c r="E24" s="0" t="n">
        <f aca="false">E16</f>
        <v>0.0307334295942924</v>
      </c>
      <c r="F24" s="0" t="n">
        <f aca="false">F16</f>
        <v>0.0691502165871579</v>
      </c>
      <c r="G24" s="0" t="n">
        <f aca="false">G16</f>
        <v>0.12293371837717</v>
      </c>
      <c r="H24" s="0" t="n">
        <f aca="false">H16</f>
        <v>0.192083934964328</v>
      </c>
      <c r="I24" s="0" t="n">
        <f aca="false">I16</f>
        <v>0.276600866348632</v>
      </c>
      <c r="J24" s="0" t="n">
        <f aca="false">J16</f>
        <v>0.376484512530082</v>
      </c>
      <c r="K24" s="0" t="n">
        <f aca="false">K16</f>
        <v>0.491734873508679</v>
      </c>
      <c r="L24" s="0" t="n">
        <f aca="false">L16</f>
        <v>0.622351949284421</v>
      </c>
      <c r="M24" s="0" t="n">
        <f aca="false">M16</f>
        <v>0.693423005221228</v>
      </c>
      <c r="N24" s="0" t="n">
        <f aca="false">N23</f>
        <v>0.693423005221228</v>
      </c>
      <c r="O24" s="0" t="n">
        <f aca="false">O23</f>
        <v>0.693423005221228</v>
      </c>
      <c r="P24" s="0" t="s">
        <v>149</v>
      </c>
    </row>
    <row r="25" customFormat="false" ht="12.8" hidden="false" customHeight="false" outlineLevel="0" collapsed="false">
      <c r="D25" s="0" t="n">
        <f aca="false">D19/D22</f>
        <v>0</v>
      </c>
      <c r="E25" s="0" t="n">
        <f aca="false">E19/E22</f>
        <v>0</v>
      </c>
      <c r="F25" s="0" t="n">
        <f aca="false">F19/F22</f>
        <v>0</v>
      </c>
      <c r="G25" s="0" t="n">
        <f aca="false">G19/G22</f>
        <v>0</v>
      </c>
      <c r="H25" s="0" t="n">
        <f aca="false">H19/H22</f>
        <v>0</v>
      </c>
      <c r="I25" s="0" t="n">
        <f aca="false">I19/I22</f>
        <v>0</v>
      </c>
      <c r="J25" s="0" t="n">
        <f aca="false">J19/J22</f>
        <v>0</v>
      </c>
      <c r="K25" s="0" t="n">
        <f aca="false">K19/K22</f>
        <v>0</v>
      </c>
      <c r="L25" s="0" t="n">
        <f aca="false">L19/L22</f>
        <v>1</v>
      </c>
      <c r="M25" s="0" t="n">
        <f aca="false">M19/M22</f>
        <v>0.999999999999926</v>
      </c>
      <c r="N25" s="1" t="s">
        <v>151</v>
      </c>
      <c r="O25" s="1" t="s">
        <v>151</v>
      </c>
      <c r="P25" s="0" t="s">
        <v>152</v>
      </c>
    </row>
    <row r="26" customFormat="false" ht="12.8" hidden="false" customHeight="false" outlineLevel="0" collapsed="false">
      <c r="D26" s="1" t="s">
        <v>151</v>
      </c>
      <c r="E26" s="0" t="n">
        <f aca="false">E20/E23</f>
        <v>0</v>
      </c>
      <c r="F26" s="0" t="n">
        <f aca="false">F20/F23</f>
        <v>0</v>
      </c>
      <c r="G26" s="0" t="n">
        <f aca="false">G20/G23</f>
        <v>0</v>
      </c>
      <c r="H26" s="0" t="n">
        <f aca="false">H20/H23</f>
        <v>0</v>
      </c>
      <c r="I26" s="0" t="n">
        <f aca="false">I20/I23</f>
        <v>0</v>
      </c>
      <c r="J26" s="0" t="n">
        <f aca="false">J20/J23</f>
        <v>0</v>
      </c>
      <c r="K26" s="0" t="n">
        <f aca="false">K20/K23</f>
        <v>0</v>
      </c>
      <c r="L26" s="0" t="n">
        <f aca="false">L20/L23</f>
        <v>0</v>
      </c>
      <c r="M26" s="0" t="n">
        <f aca="false">M20/M23</f>
        <v>1.05555555578632</v>
      </c>
      <c r="N26" s="0" t="n">
        <f aca="false">N20/N23</f>
        <v>1.04986149584487</v>
      </c>
      <c r="O26" s="0" t="n">
        <f aca="false">O20/O23</f>
        <v>1.04986149584487</v>
      </c>
      <c r="P26" s="0" t="s">
        <v>153</v>
      </c>
    </row>
    <row r="27" customFormat="false" ht="12.8" hidden="false" customHeight="false" outlineLevel="0" collapsed="false">
      <c r="D27" s="0" t="n">
        <f aca="false">D21/D24</f>
        <v>0</v>
      </c>
      <c r="E27" s="0" t="n">
        <f aca="false">E21/E24</f>
        <v>0</v>
      </c>
      <c r="F27" s="0" t="n">
        <f aca="false">F21/F24</f>
        <v>0</v>
      </c>
      <c r="G27" s="0" t="n">
        <f aca="false">G21/G24</f>
        <v>0</v>
      </c>
      <c r="H27" s="0" t="n">
        <f aca="false">H21/H24</f>
        <v>0</v>
      </c>
      <c r="I27" s="0" t="n">
        <f aca="false">I21/I24</f>
        <v>0</v>
      </c>
      <c r="J27" s="0" t="n">
        <f aca="false">J21/J24</f>
        <v>0</v>
      </c>
      <c r="K27" s="0" t="n">
        <f aca="false">K21/K24</f>
        <v>0</v>
      </c>
      <c r="L27" s="0" t="n">
        <f aca="false">L21/L24</f>
        <v>0</v>
      </c>
      <c r="M27" s="0" t="n">
        <f aca="false">M21/M24</f>
        <v>1.04986149605198</v>
      </c>
      <c r="N27" s="0" t="n">
        <f aca="false">N21/N24</f>
        <v>1.04986149584487</v>
      </c>
      <c r="O27" s="0" t="n">
        <f aca="false">O21/O24</f>
        <v>1.04986149584487</v>
      </c>
      <c r="P27" s="0" t="s">
        <v>154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423702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2015-03-08T19:04:55Z</dcterms:created>
  <dc:language>en-US</dc:language>
  <dcterms:modified xsi:type="dcterms:W3CDTF">2015-03-22T17:57:49Z</dcterms:modified>
  <cp:revision>698</cp:revision>
</cp:coreProperties>
</file>