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27.xml" ContentType="application/vnd.openxmlformats-officedocument.drawingml.chart+xml"/>
  <Override PartName="/xl/charts/chart926.xml" ContentType="application/vnd.openxmlformats-officedocument.drawingml.chart+xml"/>
  <Override PartName="/xl/charts/chart924.xml" ContentType="application/vnd.openxmlformats-officedocument.drawingml.chart+xml"/>
  <Override PartName="/xl/charts/chart922.xml" ContentType="application/vnd.openxmlformats-officedocument.drawingml.chart+xml"/>
  <Override PartName="/xl/charts/chart921.xml" ContentType="application/vnd.openxmlformats-officedocument.drawingml.chart+xml"/>
  <Override PartName="/xl/charts/chart920.xml" ContentType="application/vnd.openxmlformats-officedocument.drawingml.chart+xml"/>
  <Override PartName="/xl/charts/chart923.xml" ContentType="application/vnd.openxmlformats-officedocument.drawingml.chart+xml"/>
  <Override PartName="/xl/charts/chart919.xml" ContentType="application/vnd.openxmlformats-officedocument.drawingml.chart+xml"/>
  <Override PartName="/xl/charts/chart918.xml" ContentType="application/vnd.openxmlformats-officedocument.drawingml.chart+xml"/>
  <Override PartName="/xl/charts/chart917.xml" ContentType="application/vnd.openxmlformats-officedocument.drawingml.chart+xml"/>
  <Override PartName="/xl/charts/chart915.xml" ContentType="application/vnd.openxmlformats-officedocument.drawingml.chart+xml"/>
  <Override PartName="/xl/charts/chart928.xml" ContentType="application/vnd.openxmlformats-officedocument.drawingml.chart+xml"/>
  <Override PartName="/xl/charts/chart916.xml" ContentType="application/vnd.openxmlformats-officedocument.drawingml.chart+xml"/>
  <Override PartName="/xl/charts/chart914.xml" ContentType="application/vnd.openxmlformats-officedocument.drawingml.chart+xml"/>
  <Override PartName="/xl/charts/chart925.xml" ContentType="application/vnd.openxmlformats-officedocument.drawingml.chart+xml"/>
  <Override PartName="/xl/charts/chart913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6" firstSheet="0" activeTab="1"/>
  </bookViews>
  <sheets>
    <sheet name="Problem_Setup" sheetId="1" state="visible" r:id="rId2"/>
    <sheet name="SS Rod Radial Profile_5" sheetId="2" state="visible" r:id="rId3"/>
    <sheet name="SS Rod Radial Profile_10" sheetId="3" state="visible" r:id="rId4"/>
    <sheet name="SS Rod Radial Profile_20" sheetId="4" state="visible" r:id="rId5"/>
    <sheet name="Fuel_Centerline_Temperature" sheetId="5" state="visible" r:id="rId6"/>
  </sheets>
  <definedNames>
    <definedName function="false" hidden="false" name="A_surf" vbProcedure="false">Problem_Setup!$D$13</definedName>
    <definedName function="false" hidden="false" name="cp_in" vbProcedure="false">Problem_Setup!$D$34</definedName>
    <definedName function="false" hidden="false" name="delta_clad" vbProcedure="false">Problem_Setup!$H$34</definedName>
    <definedName function="false" hidden="false" name="delta_fluid" vbProcedure="false">Problem_Setup!$H$35</definedName>
    <definedName function="false" hidden="false" name="delta_gap" vbProcedure="false">Problem_Setup!$H$33</definedName>
    <definedName function="false" hidden="false" name="dT_clad" vbProcedure="false">Problem_Setup!$H$34</definedName>
    <definedName function="false" hidden="false" name="dT_gap" vbProcedure="false">Problem_Setup!$H$34</definedName>
    <definedName function="false" hidden="false" name="dz" vbProcedure="false">Problem_Setup!$D$7</definedName>
    <definedName function="false" hidden="false" name="heat_gen" vbProcedure="false">Problem_Setup!$D$26</definedName>
    <definedName function="false" hidden="false" name="hgap" vbProcedure="false">Problem_Setup!$H$10</definedName>
    <definedName function="false" hidden="false" name="htc" vbProcedure="false">Problem_Setup!$H$23</definedName>
    <definedName function="false" hidden="false" name="k_clad" vbProcedure="false">Problem_Setup!$H$5</definedName>
    <definedName function="false" hidden="false" name="k_fuel" vbProcedure="false">Problem_Setup!$H$4</definedName>
    <definedName function="false" hidden="false" name="L_chan" vbProcedure="false">Problem_Setup!$D$6</definedName>
    <definedName function="false" hidden="false" name="M_dot" vbProcedure="false">Problem_Setup!$D$30</definedName>
    <definedName function="false" hidden="false" name="Naxial" vbProcedure="false">Problem_Setup!$D$5</definedName>
    <definedName function="false" hidden="false" name="q_dot" vbProcedure="false">Problem_Setup!$D$25</definedName>
    <definedName function="false" hidden="false" name="q_lin" vbProcedure="false">Problem_Setup!$D$23</definedName>
    <definedName function="false" hidden="false" name="Rho_fuel" vbProcedure="false">Problem_Setup!$H$6</definedName>
    <definedName function="false" hidden="false" name="R_fuel" vbProcedure="false">Problem_Setup!$D$9</definedName>
    <definedName function="false" hidden="false" name="R_rod" vbProcedure="false">Problem_Setup!$D$8</definedName>
    <definedName function="false" hidden="false" name="t_btu_kw" vbProcedure="false">Problem_Setup!$N$5</definedName>
    <definedName function="false" hidden="false" name="t_ft_m" vbProcedure="false">Problem_Setup!$N$6</definedName>
    <definedName function="false" hidden="false" name="t_gap" vbProcedure="false">Problem_Setup!$H$34</definedName>
    <definedName function="false" hidden="false" name="t_htc" vbProcedure="false">Problem_Setup!$N$8</definedName>
    <definedName function="false" hidden="false" name="t_in" vbProcedure="false">Problem_Setup!$D$32</definedName>
    <definedName function="false" hidden="false" name="t_R_K" vbProcedure="false">Problem_Setup!$N$7</definedName>
    <definedName function="false" hidden="false" name="vol_fuel" vbProcedure="false">Problem_Setup!$D$17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<sst xmlns="http://schemas.openxmlformats.org/spreadsheetml/2006/main" count="333" uniqueCount="130">
  <si>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</si>
  <si>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</si>
  <si>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</si>
  <si>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</si>
  <si>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</si>
  <si>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</si>
  <si>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</si>
  <si>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</si>
  <si>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</si>
  <si>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</si>
  <si>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</si>
  <si>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</si>
  <si>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</si>
  <si>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</si>
  <si>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</si>
  <si>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</si>
  <si>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</si>
  <si>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</si>
  <si>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</si>
  <si>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</si>
  <si>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</si>
  <si>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</si>
  <si>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</si>
  <si>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</si>
  <si>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</si>
  <si>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</si>
  <si>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</si>
  <si>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</si>
  <si>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</si>
  <si>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</si>
  <si>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</si>
  <si>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</si>
  <si>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</si>
  <si>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</si>
  <si>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</si>
  <si>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</si>
  <si>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</si>
  <si>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</si>
  <si>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 </t>
  </si>
  <si>
    <t>hyd. Diameter</t>
  </si>
  <si>
    <t>m </t>
  </si>
  <si>
    <t>kl</t>
  </si>
  <si>
    <t>btu/hr-ft-F</t>
  </si>
  <si>
    <t>volume fuel</t>
  </si>
  <si>
    <t>m^3 </t>
  </si>
  <si>
    <t>De</t>
  </si>
  <si>
    <t>Ft^2 </t>
  </si>
  <si>
    <t>mass fuel</t>
  </si>
  <si>
    <t>kg 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</si>
  <si>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</si>
  <si>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</si>
  <si>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</si>
  <si>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</si>
  <si>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</si>
  <si>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</si>
  <si>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</si>
  <si>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</si>
  <si>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</si>
  <si>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 </t>
  </si>
  <si>
    <t>q'</t>
  </si>
  <si>
    <t>kW/m</t>
  </si>
  <si>
    <t>q </t>
  </si>
  <si>
    <t>kW</t>
  </si>
  <si>
    <t>Tw-Tf</t>
  </si>
  <si>
    <t>q_dot</t>
  </si>
  <si>
    <t>kW/m^3</t>
  </si>
  <si>
    <t>q''</t>
  </si>
  <si>
    <t>kW/m^2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</si>
  <si>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</si>
  <si>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</si>
  <si>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</si>
  <si>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</si>
  <si>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</si>
  <si>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</si>
  <si>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</si>
  <si>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</si>
  <si>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</si>
  <si>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</si>
  <si>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</si>
  <si>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</si>
  <si>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</si>
  <si>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</si>
  <si>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</si>
  <si>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</si>
  <si>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</si>
  <si>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</si>
  <si>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</si>
  <si>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</si>
  <si>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</si>
  <si>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</si>
  <si>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</si>
  <si>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</si>
  <si>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</si>
  <si>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</si>
  <si>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</si>
  <si>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</si>
  <si>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</si>
  <si>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10 Radial Nodes</t>
  </si>
  <si>
    <t>Fluid Energy Balance</t>
  </si>
  <si>
    <t>Raw Data</t>
  </si>
  <si>
    <t>flow rate</t>
  </si>
  <si>
    <t>enthalpy</t>
  </si>
  <si>
    <t>lbm/sec</t>
  </si>
  <si>
    <t>btu/lbm</t>
  </si>
  <si>
    <t>Inlet</t>
  </si>
  <si>
    <t>Semi-implicit Trans</t>
  </si>
  <si>
    <t>Implicit SS</t>
  </si>
  <si>
    <t>Implicit Trans</t>
  </si>
  <si>
    <t>Output</t>
  </si>
  <si>
    <t>Enthalpy Change</t>
  </si>
  <si>
    <t>Total Power</t>
  </si>
  <si>
    <t>Rod Energy Rate</t>
  </si>
  <si>
    <t>Analytical</t>
  </si>
  <si>
    <t>Error</t>
  </si>
  <si>
    <t>dr [ft]</t>
  </si>
  <si>
    <t>FLUID</t>
  </si>
  <si>
    <t>r [ft]</t>
  </si>
  <si>
    <t>T(r) [F]</t>
  </si>
  <si>
    <t>Relative Temperature Difference</t>
  </si>
  <si>
    <t>r [cm]</t>
  </si>
  <si>
    <t>Difference</t>
  </si>
  <si>
    <t>T(r)-T(s) [C]</t>
  </si>
  <si>
    <t>Absolute Temperature Difference</t>
  </si>
  <si>
    <t>Relative Difference</t>
  </si>
  <si>
    <t>DATA</t>
  </si>
  <si>
    <t>Axial Centerline Temperature [K]</t>
  </si>
  <si>
    <t>Fuel Centerline Temperature Error [%]</t>
  </si>
  <si>
    <t>NR</t>
  </si>
  <si>
    <t>EXACT</t>
  </si>
  <si>
    <t>Order of Accuracies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</si>
</sst>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"/>
    <numFmt numFmtId="166" formatCode="0.000"/>
    <numFmt numFmtId="167" formatCode="0.00"/>
    <numFmt numFmtId="168" formatCode="0.00000"/>
    <numFmt numFmtId="169" formatCode="0.0000"/>
    <numFmt numFmtId="170" formatCode="0.00E+000"/>
    <numFmt numFmtId="171" formatCode="0.0000E+00"/>
    <numFmt numFmtId="172" formatCode="0.000000E+00"/>
    <numFmt numFmtId="173" formatCode="0.00000000"/>
    <numFmt numFmtId="174" formatCode="0.00%"/>
    <numFmt numFmtId="175" formatCode="0.0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5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Profile_5'!$B$31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Profile_5'!$C$31:$J$31</c:f>
              <c:numCache>
                <c:formatCode>General</c:formatCode>
                <c:ptCount val="8"/>
                <c:pt idx="0">
                  <c:v>92.3834112916388</c:v>
                </c:pt>
                <c:pt idx="1">
                  <c:v>90.9217313744396</c:v>
                </c:pt>
                <c:pt idx="2">
                  <c:v>85.0750117056427</c:v>
                </c:pt>
                <c:pt idx="3">
                  <c:v>73.381572368049</c:v>
                </c:pt>
                <c:pt idx="4">
                  <c:v>55.8414133616583</c:v>
                </c:pt>
                <c:pt idx="5">
                  <c:v>33.1857630817195</c:v>
                </c:pt>
                <c:pt idx="6">
                  <c:v>5.81405867843346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Profile_5'!$C$32:$J$32</c:f>
              <c:numCache>
                <c:formatCode>General</c:formatCode>
                <c:ptCount val="8"/>
                <c:pt idx="0">
                  <c:v>88.2662746296296</c:v>
                </c:pt>
                <c:pt idx="1">
                  <c:v>86.5543261111111</c:v>
                </c:pt>
                <c:pt idx="2">
                  <c:v>81.4184805555556</c:v>
                </c:pt>
                <c:pt idx="3">
                  <c:v>70.9436561111111</c:v>
                </c:pt>
                <c:pt idx="4">
                  <c:v>54.4863827777778</c:v>
                </c:pt>
                <c:pt idx="5">
                  <c:v>32.2601561111111</c:v>
                </c:pt>
                <c:pt idx="6">
                  <c:v>5.47905000000002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Profile_5'!$B$33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Profile_5'!$C$33:$J$33</c:f>
              <c:numCache>
                <c:formatCode>General</c:formatCode>
                <c:ptCount val="8"/>
                <c:pt idx="0">
                  <c:v>88.448237037037</c:v>
                </c:pt>
                <c:pt idx="1">
                  <c:v>86.7320794444444</c:v>
                </c:pt>
                <c:pt idx="2">
                  <c:v>81.5836066666666</c:v>
                </c:pt>
                <c:pt idx="3">
                  <c:v>71.0842905555555</c:v>
                </c:pt>
                <c:pt idx="4">
                  <c:v>54.5919466666667</c:v>
                </c:pt>
                <c:pt idx="5">
                  <c:v>32.3243588888888</c:v>
                </c:pt>
                <c:pt idx="6">
                  <c:v>5.49017444444442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Profile_5'!$B$34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Profile_5'!$C$34:$J$34</c:f>
              <c:numCache>
                <c:formatCode>General</c:formatCode>
                <c:ptCount val="8"/>
                <c:pt idx="0">
                  <c:v>88.2357335185186</c:v>
                </c:pt>
                <c:pt idx="1">
                  <c:v>86.5244916666667</c:v>
                </c:pt>
                <c:pt idx="2">
                  <c:v>81.3907661111111</c:v>
                </c:pt>
                <c:pt idx="3">
                  <c:v>70.9200522222222</c:v>
                </c:pt>
                <c:pt idx="4">
                  <c:v>54.468665</c:v>
                </c:pt>
                <c:pt idx="5">
                  <c:v>32.2493805555556</c:v>
                </c:pt>
                <c:pt idx="6">
                  <c:v>5.47718277777777</c:v>
                </c:pt>
                <c:pt idx="7">
                  <c:v>0</c:v>
                </c:pt>
              </c:numCache>
            </c:numRef>
          </c:yVal>
        </c:ser>
        <c:axId val="48464489"/>
        <c:axId val="79670502"/>
      </c:scatterChart>
      <c:valAx>
        <c:axId val="48464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670502"/>
        <c:crossesAt val="0"/>
      </c:valAx>
      <c:valAx>
        <c:axId val="79670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4644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Profile_5'!$L$39:$L$39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Profile_5'!$D$30:$I$30</c:f>
              <c:numCache>
                <c:formatCode>General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0.321813208674161</c:v>
                </c:pt>
                <c:pt idx="4">
                  <c:v>0.409601343832021</c:v>
                </c:pt>
                <c:pt idx="5">
                  <c:v>0.418001371391076</c:v>
                </c:pt>
              </c:numCache>
            </c:numRef>
          </c:xVal>
          <c:yVal>
            <c:numRef>
              <c:f>'SS Rod Radial Profile_5'!$M$39:$W$39</c:f>
              <c:numCache>
                <c:formatCode>General</c:formatCode>
                <c:ptCount val="11"/>
                <c:pt idx="0">
                  <c:v>-0.00975528488791988</c:v>
                </c:pt>
                <c:pt idx="1">
                  <c:v>-0.0104409095243081</c:v>
                </c:pt>
                <c:pt idx="2">
                  <c:v>-0.00873071289849088</c:v>
                </c:pt>
                <c:pt idx="3">
                  <c:v>-0.0056989889990771</c:v>
                </c:pt>
                <c:pt idx="4">
                  <c:v>-0.00289655597781634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-0.00178769298620832</c:v>
                </c:pt>
                <c:pt idx="10">
                  <c:v>-0.00178769298620832</c:v>
                </c:pt>
              </c:numCache>
            </c:numRef>
          </c:yVal>
        </c:ser>
        <c:ser>
          <c:idx val="1"/>
          <c:order val="1"/>
          <c:tx>
            <c:strRef>
              <c:f>'SS Rod Radial Profile_5'!$L$41:$L$41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'SS Rod Radial Profile_5'!$D$30:$I$30</c:f>
              <c:numCache>
                <c:formatCode>General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0.321813208674161</c:v>
                </c:pt>
                <c:pt idx="4">
                  <c:v>0.409601343832021</c:v>
                </c:pt>
                <c:pt idx="5">
                  <c:v>0.418001371391076</c:v>
                </c:pt>
              </c:numCache>
            </c:numRef>
          </c:xVal>
          <c:yVal>
            <c:numRef>
              <c:f>'SS Rod Radial Profile_5'!$M$41:$W$41</c:f>
              <c:numCache>
                <c:formatCode>General</c:formatCode>
                <c:ptCount val="11"/>
                <c:pt idx="0">
                  <c:v>-0.0098387914317204</c:v>
                </c:pt>
                <c:pt idx="1">
                  <c:v>-0.0105229008361075</c:v>
                </c:pt>
                <c:pt idx="2">
                  <c:v>-0.00880838648633849</c:v>
                </c:pt>
                <c:pt idx="3">
                  <c:v>-0.0057679673402441</c:v>
                </c:pt>
                <c:pt idx="4">
                  <c:v>-0.00295220186724929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-0.00182602157989472</c:v>
                </c:pt>
                <c:pt idx="10">
                  <c:v>-0.00182602157989472</c:v>
                </c:pt>
              </c:numCache>
            </c:numRef>
          </c:yVal>
        </c:ser>
        <c:ser>
          <c:idx val="2"/>
          <c:order val="2"/>
          <c:tx>
            <c:strRef>
              <c:f>'SS Rod Radial Profile_5'!$L$40:$L$40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'SS Rod Radial Profile_5'!$D$30:$I$30</c:f>
              <c:numCache>
                <c:formatCode>General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0.321813208674161</c:v>
                </c:pt>
                <c:pt idx="4">
                  <c:v>0.409601343832021</c:v>
                </c:pt>
                <c:pt idx="5">
                  <c:v>0.418001371391076</c:v>
                </c:pt>
              </c:numCache>
            </c:numRef>
          </c:xVal>
          <c:yVal>
            <c:numRef>
              <c:f>'SS Rod Radial Profile_5'!$M$40:$W$40</c:f>
              <c:numCache>
                <c:formatCode>General</c:formatCode>
                <c:ptCount val="11"/>
                <c:pt idx="0">
                  <c:v>-0.00925768220875679</c:v>
                </c:pt>
                <c:pt idx="1">
                  <c:v>-0.0099523311003013</c:v>
                </c:pt>
                <c:pt idx="2">
                  <c:v>-0.00826784849529082</c:v>
                </c:pt>
                <c:pt idx="3">
                  <c:v>-0.00528793082339593</c:v>
                </c:pt>
                <c:pt idx="4">
                  <c:v>-0.00256493143991206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-0.00155923695717334</c:v>
                </c:pt>
                <c:pt idx="10">
                  <c:v>-0.00155923695717334</c:v>
                </c:pt>
              </c:numCache>
            </c:numRef>
          </c:yVal>
        </c:ser>
        <c:axId val="28446173"/>
        <c:axId val="54469274"/>
      </c:scatterChart>
      <c:valAx>
        <c:axId val="284461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469274"/>
        <c:crossesAt val="0"/>
      </c:valAx>
      <c:valAx>
        <c:axId val="54469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461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Profile_5'!$B$38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'SS Rod Radial Profile_5'!$C$37:$J$37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Profile_5'!$C$38:$J$38</c:f>
              <c:numCache>
                <c:formatCode>General</c:formatCode>
                <c:ptCount val="8"/>
                <c:pt idx="0">
                  <c:v>387.281691753449</c:v>
                </c:pt>
                <c:pt idx="1">
                  <c:v>385.82001183625</c:v>
                </c:pt>
                <c:pt idx="2">
                  <c:v>379.973292167453</c:v>
                </c:pt>
                <c:pt idx="3">
                  <c:v>368.279852829859</c:v>
                </c:pt>
                <c:pt idx="4">
                  <c:v>350.739693823469</c:v>
                </c:pt>
                <c:pt idx="5">
                  <c:v>328.08404354353</c:v>
                </c:pt>
                <c:pt idx="6">
                  <c:v>300.712339140244</c:v>
                </c:pt>
                <c:pt idx="7">
                  <c:v>294.89828046181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Profile_5'!$C$37:$J$37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Profile_5'!$C$39:$J$39</c:f>
              <c:numCache>
                <c:formatCode>General</c:formatCode>
                <c:ptCount val="8"/>
                <c:pt idx="0">
                  <c:v>383.503648518519</c:v>
                </c:pt>
                <c:pt idx="1">
                  <c:v>381.7917</c:v>
                </c:pt>
                <c:pt idx="2">
                  <c:v>376.655854444444</c:v>
                </c:pt>
                <c:pt idx="3">
                  <c:v>366.18103</c:v>
                </c:pt>
                <c:pt idx="4">
                  <c:v>349.723756666667</c:v>
                </c:pt>
                <c:pt idx="5">
                  <c:v>327.49753</c:v>
                </c:pt>
                <c:pt idx="6">
                  <c:v>300.716423888889</c:v>
                </c:pt>
                <c:pt idx="7">
                  <c:v>295.237373888889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Profile_5'!$B$40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Profile_5'!$C$37:$J$37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Profile_5'!$C$40:$J$40</c:f>
              <c:numCache>
                <c:formatCode>General</c:formatCode>
                <c:ptCount val="8"/>
                <c:pt idx="0">
                  <c:v>383.696360925926</c:v>
                </c:pt>
                <c:pt idx="1">
                  <c:v>381.980203333333</c:v>
                </c:pt>
                <c:pt idx="2">
                  <c:v>376.831730555556</c:v>
                </c:pt>
                <c:pt idx="3">
                  <c:v>366.332414444444</c:v>
                </c:pt>
                <c:pt idx="4">
                  <c:v>349.840070555556</c:v>
                </c:pt>
                <c:pt idx="5">
                  <c:v>327.572482777778</c:v>
                </c:pt>
                <c:pt idx="6">
                  <c:v>300.738298333333</c:v>
                </c:pt>
                <c:pt idx="7">
                  <c:v>295.248123888889</c:v>
                </c:pt>
              </c:numCache>
            </c:numRef>
          </c:yVal>
        </c:ser>
        <c:axId val="356410"/>
        <c:axId val="82778267"/>
      </c:scatterChart>
      <c:valAx>
        <c:axId val="356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778267"/>
        <c:crossesAt val="0"/>
      </c:valAx>
      <c:valAx>
        <c:axId val="82778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64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Profile_5'!$B$31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Profile_5'!$C$31:$J$31</c:f>
              <c:numCache>
                <c:formatCode>General</c:formatCode>
                <c:ptCount val="8"/>
                <c:pt idx="0">
                  <c:v>92.3834112916388</c:v>
                </c:pt>
                <c:pt idx="1">
                  <c:v>90.9217313744396</c:v>
                </c:pt>
                <c:pt idx="2">
                  <c:v>85.0750117056427</c:v>
                </c:pt>
                <c:pt idx="3">
                  <c:v>73.381572368049</c:v>
                </c:pt>
                <c:pt idx="4">
                  <c:v>55.8414133616583</c:v>
                </c:pt>
                <c:pt idx="5">
                  <c:v>33.1857630817195</c:v>
                </c:pt>
                <c:pt idx="6">
                  <c:v>5.81405867843346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Profile_5'!$C$32:$J$32</c:f>
              <c:numCache>
                <c:formatCode>General</c:formatCode>
                <c:ptCount val="8"/>
                <c:pt idx="0">
                  <c:v>88.2662746296296</c:v>
                </c:pt>
                <c:pt idx="1">
                  <c:v>86.5543261111111</c:v>
                </c:pt>
                <c:pt idx="2">
                  <c:v>81.4184805555556</c:v>
                </c:pt>
                <c:pt idx="3">
                  <c:v>70.9436561111111</c:v>
                </c:pt>
                <c:pt idx="4">
                  <c:v>54.4863827777778</c:v>
                </c:pt>
                <c:pt idx="5">
                  <c:v>32.2601561111111</c:v>
                </c:pt>
                <c:pt idx="6">
                  <c:v>5.47905000000002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Profile_5'!$B$33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Profile_5'!$C$33:$J$33</c:f>
              <c:numCache>
                <c:formatCode>General</c:formatCode>
                <c:ptCount val="8"/>
                <c:pt idx="0">
                  <c:v>88.448237037037</c:v>
                </c:pt>
                <c:pt idx="1">
                  <c:v>86.7320794444444</c:v>
                </c:pt>
                <c:pt idx="2">
                  <c:v>81.5836066666666</c:v>
                </c:pt>
                <c:pt idx="3">
                  <c:v>71.0842905555555</c:v>
                </c:pt>
                <c:pt idx="4">
                  <c:v>54.5919466666667</c:v>
                </c:pt>
                <c:pt idx="5">
                  <c:v>32.3243588888888</c:v>
                </c:pt>
                <c:pt idx="6">
                  <c:v>5.49017444444442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Profile_5'!$B$34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Profile_5'!$C$30:$J$30</c:f>
              <c:numCache>
                <c:formatCode>General</c:formatCode>
                <c:ptCount val="8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  <c:pt idx="7">
                  <c:v>0.47500155839895</c:v>
                </c:pt>
              </c:numCache>
            </c:numRef>
          </c:xVal>
          <c:yVal>
            <c:numRef>
              <c:f>'SS Rod Radial Profile_5'!$C$34:$J$34</c:f>
              <c:numCache>
                <c:formatCode>General</c:formatCode>
                <c:ptCount val="8"/>
                <c:pt idx="0">
                  <c:v>88.2357335185186</c:v>
                </c:pt>
                <c:pt idx="1">
                  <c:v>86.5244916666667</c:v>
                </c:pt>
                <c:pt idx="2">
                  <c:v>81.3907661111111</c:v>
                </c:pt>
                <c:pt idx="3">
                  <c:v>70.9200522222222</c:v>
                </c:pt>
                <c:pt idx="4">
                  <c:v>54.468665</c:v>
                </c:pt>
                <c:pt idx="5">
                  <c:v>32.2493805555556</c:v>
                </c:pt>
                <c:pt idx="6">
                  <c:v>5.47718277777777</c:v>
                </c:pt>
                <c:pt idx="7">
                  <c:v>0</c:v>
                </c:pt>
              </c:numCache>
            </c:numRef>
          </c:yVal>
        </c:ser>
        <c:axId val="46282428"/>
        <c:axId val="16430722"/>
      </c:scatterChart>
      <c:valAx>
        <c:axId val="46282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30722"/>
        <c:crossesAt val="0"/>
      </c:valAx>
      <c:valAx>
        <c:axId val="16430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28242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Profile_5'!$L$31:$L$31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Profile_5'!$C$30:$I$30</c:f>
              <c:numCache>
                <c:formatCode>General</c:formatCode>
                <c:ptCount val="7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</c:numCache>
            </c:numRef>
          </c:xVal>
          <c:yVal>
            <c:numRef>
              <c:f>'SS Rod Radial Profile_5'!$M$31:$Y$31</c:f>
              <c:numCache>
                <c:formatCode>General</c:formatCode>
                <c:ptCount val="13"/>
                <c:pt idx="0">
                  <c:v>-4.11713666200922</c:v>
                </c:pt>
                <c:pt idx="1">
                  <c:v>-4.36740526332851</c:v>
                </c:pt>
                <c:pt idx="2">
                  <c:v>-3.65653115008716</c:v>
                </c:pt>
                <c:pt idx="3">
                  <c:v>-2.43791625693787</c:v>
                </c:pt>
                <c:pt idx="4">
                  <c:v>-1.35503058388057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-0.925606970608399</c:v>
                </c:pt>
                <c:pt idx="10">
                  <c:v>-0.925606970608399</c:v>
                </c:pt>
                <c:pt idx="11">
                  <c:v>-0.335008678433447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Profile_5'!$L$32:$L$32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'SS Rod Radial Profile_5'!$C$30:$I$30</c:f>
              <c:numCache>
                <c:formatCode>General</c:formatCode>
                <c:ptCount val="7"/>
                <c:pt idx="0">
                  <c:v>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0.321813208674161</c:v>
                </c:pt>
                <c:pt idx="5">
                  <c:v>0.409601343832021</c:v>
                </c:pt>
                <c:pt idx="6">
                  <c:v>0.418001371391076</c:v>
                </c:pt>
              </c:numCache>
            </c:numRef>
          </c:xVal>
          <c:yVal>
            <c:numRef>
              <c:f>'SS Rod Radial Profile_5'!$M$32:$Y$32</c:f>
              <c:numCache>
                <c:formatCode>General</c:formatCode>
                <c:ptCount val="13"/>
                <c:pt idx="0">
                  <c:v>-3.93517425460186</c:v>
                </c:pt>
                <c:pt idx="1">
                  <c:v>-4.18965192999521</c:v>
                </c:pt>
                <c:pt idx="2">
                  <c:v>-3.4914050389761</c:v>
                </c:pt>
                <c:pt idx="3">
                  <c:v>-2.29728181249348</c:v>
                </c:pt>
                <c:pt idx="4">
                  <c:v>-1.24946669499167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-0.861404192830648</c:v>
                </c:pt>
                <c:pt idx="10">
                  <c:v>-0.861404192830648</c:v>
                </c:pt>
                <c:pt idx="11">
                  <c:v>-0.323884233989046</c:v>
                </c:pt>
                <c:pt idx="12">
                  <c:v>0</c:v>
                </c:pt>
              </c:numCache>
            </c:numRef>
          </c:yVal>
        </c:ser>
        <c:axId val="78633685"/>
        <c:axId val="46850156"/>
      </c:scatterChart>
      <c:valAx>
        <c:axId val="786336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50156"/>
        <c:crossesAt val="0"/>
      </c:valAx>
      <c:valAx>
        <c:axId val="46850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6336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Profile_10'!$B$31:$B$31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Profile_10'!$C$31:$O$31</c:f>
              <c:numCache>
                <c:formatCode>General</c:formatCode>
                <c:ptCount val="13"/>
                <c:pt idx="0">
                  <c:v>92.3834112916388</c:v>
                </c:pt>
                <c:pt idx="1">
                  <c:v>92.055444329608</c:v>
                </c:pt>
                <c:pt idx="2">
                  <c:v>90.7435764814846</c:v>
                </c:pt>
                <c:pt idx="3">
                  <c:v>88.1198407852378</c:v>
                </c:pt>
                <c:pt idx="4">
                  <c:v>84.1842372408676</c:v>
                </c:pt>
                <c:pt idx="5">
                  <c:v>78.936765848374</c:v>
                </c:pt>
                <c:pt idx="6">
                  <c:v>72.377426607757</c:v>
                </c:pt>
                <c:pt idx="7">
                  <c:v>64.5062195190166</c:v>
                </c:pt>
                <c:pt idx="8">
                  <c:v>55.3231445821529</c:v>
                </c:pt>
                <c:pt idx="9">
                  <c:v>44.8282017971659</c:v>
                </c:pt>
                <c:pt idx="10">
                  <c:v>33.1857630817195</c:v>
                </c:pt>
                <c:pt idx="11">
                  <c:v>5.81405867843346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Profile_10'!$B$32:$B$32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Profile_10'!$C$32:$O$32</c:f>
              <c:numCache>
                <c:formatCode>General</c:formatCode>
                <c:ptCount val="13"/>
                <c:pt idx="0">
                  <c:v>90.4744131481482</c:v>
                </c:pt>
                <c:pt idx="1">
                  <c:v>90.0902188888889</c:v>
                </c:pt>
                <c:pt idx="2">
                  <c:v>88.9376361111111</c:v>
                </c:pt>
                <c:pt idx="3">
                  <c:v>86.587105</c:v>
                </c:pt>
                <c:pt idx="4">
                  <c:v>82.8947188888889</c:v>
                </c:pt>
                <c:pt idx="5">
                  <c:v>77.8613338888889</c:v>
                </c:pt>
                <c:pt idx="6">
                  <c:v>71.4936927777778</c:v>
                </c:pt>
                <c:pt idx="7">
                  <c:v>63.7969572222222</c:v>
                </c:pt>
                <c:pt idx="8">
                  <c:v>54.7746872222222</c:v>
                </c:pt>
                <c:pt idx="9">
                  <c:v>44.4293144444444</c:v>
                </c:pt>
                <c:pt idx="10">
                  <c:v>32.7869255555556</c:v>
                </c:pt>
                <c:pt idx="11">
                  <c:v>5.56855333333336</c:v>
                </c:pt>
                <c:pt idx="12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Profile_10'!$B$33:$B$33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Profile_10'!$C$33:$O$33</c:f>
              <c:numCache>
                <c:formatCode>General</c:formatCode>
                <c:ptCount val="13"/>
                <c:pt idx="0">
                  <c:v>90.6358887037038</c:v>
                </c:pt>
                <c:pt idx="1">
                  <c:v>90.2508227777778</c:v>
                </c:pt>
                <c:pt idx="2">
                  <c:v>89.0956250000001</c:v>
                </c:pt>
                <c:pt idx="3">
                  <c:v>86.7398227777778</c:v>
                </c:pt>
                <c:pt idx="4">
                  <c:v>83.0393244444445</c:v>
                </c:pt>
                <c:pt idx="5">
                  <c:v>77.9952027777778</c:v>
                </c:pt>
                <c:pt idx="6">
                  <c:v>71.6145</c:v>
                </c:pt>
                <c:pt idx="7">
                  <c:v>63.9027300000001</c:v>
                </c:pt>
                <c:pt idx="8">
                  <c:v>54.8638527777778</c:v>
                </c:pt>
                <c:pt idx="9">
                  <c:v>44.5007322222222</c:v>
                </c:pt>
                <c:pt idx="10">
                  <c:v>32.8399355555556</c:v>
                </c:pt>
                <c:pt idx="11">
                  <c:v>5.57774277777778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Profile_10'!$B$34:$B$34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Profile_10'!$C$34:$O$34</c:f>
              <c:numCache>
                <c:formatCode>General</c:formatCode>
                <c:ptCount val="13"/>
                <c:pt idx="0">
                  <c:v>90.4457681481481</c:v>
                </c:pt>
                <c:pt idx="1">
                  <c:v>90.0617283333334</c:v>
                </c:pt>
                <c:pt idx="2">
                  <c:v>88.909608888889</c:v>
                </c:pt>
                <c:pt idx="3">
                  <c:v>86.5600133333334</c:v>
                </c:pt>
                <c:pt idx="4">
                  <c:v>82.8690666666667</c:v>
                </c:pt>
                <c:pt idx="5">
                  <c:v>77.8375861111111</c:v>
                </c:pt>
                <c:pt idx="6">
                  <c:v>71.4722622222222</c:v>
                </c:pt>
                <c:pt idx="7">
                  <c:v>63.7781938888889</c:v>
                </c:pt>
                <c:pt idx="8">
                  <c:v>54.75887</c:v>
                </c:pt>
                <c:pt idx="9">
                  <c:v>44.4166455555556</c:v>
                </c:pt>
                <c:pt idx="10">
                  <c:v>32.7775222222222</c:v>
                </c:pt>
                <c:pt idx="11">
                  <c:v>5.56692333333337</c:v>
                </c:pt>
                <c:pt idx="12">
                  <c:v>0</c:v>
                </c:pt>
              </c:numCache>
            </c:numRef>
          </c:yVal>
        </c:ser>
        <c:axId val="48613547"/>
        <c:axId val="76040510"/>
      </c:scatterChart>
      <c:valAx>
        <c:axId val="48613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040510"/>
        <c:crossesAt val="0"/>
      </c:valAx>
      <c:valAx>
        <c:axId val="76040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135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Profile_10'!$Q$39:$Q$39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Profile_10'!$D$30:$M$30</c:f>
              <c:numCache>
                <c:formatCode>General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Profile_10'!$R$39:$AB$39</c:f>
              <c:numCache>
                <c:formatCode>General</c:formatCode>
                <c:ptCount val="11"/>
                <c:pt idx="0">
                  <c:v>-0.0038328482090476</c:v>
                </c:pt>
                <c:pt idx="1">
                  <c:v>-0.00398140433121055</c:v>
                </c:pt>
                <c:pt idx="2">
                  <c:v>-0.00358190933024173</c:v>
                </c:pt>
                <c:pt idx="3">
                  <c:v>-0.00289315183514899</c:v>
                </c:pt>
                <c:pt idx="4">
                  <c:v>-0.00228159333847336</c:v>
                </c:pt>
                <c:pt idx="5">
                  <c:v>-0.00174094366232465</c:v>
                </c:pt>
                <c:pt idx="6">
                  <c:v>-0.00125008982702935</c:v>
                </c:pt>
                <c:pt idx="7">
                  <c:v>-0.000792021502104425</c:v>
                </c:pt>
                <c:pt idx="8">
                  <c:v>-0.000353636717281326</c:v>
                </c:pt>
                <c:pt idx="9">
                  <c:v>7.5704584358736E-005</c:v>
                </c:pt>
                <c:pt idx="10">
                  <c:v>7.85429197174022E-005</c:v>
                </c:pt>
              </c:numCache>
            </c:numRef>
          </c:yVal>
        </c:ser>
        <c:ser>
          <c:idx val="1"/>
          <c:order val="1"/>
          <c:tx>
            <c:strRef>
              <c:f>'SS Rod Radial Profile_10'!$Q$41:$Q$41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'SS Rod Radial Profile_10'!$D$30:$M$30</c:f>
              <c:numCache>
                <c:formatCode>General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Profile_10'!$R$41:$AB$41</c:f>
              <c:numCache>
                <c:formatCode>General</c:formatCode>
                <c:ptCount val="11"/>
                <c:pt idx="0">
                  <c:v>-0.00391087209415686</c:v>
                </c:pt>
                <c:pt idx="1">
                  <c:v>-0.0040590952173598</c:v>
                </c:pt>
                <c:pt idx="2">
                  <c:v>-0.00365866304333464</c:v>
                </c:pt>
                <c:pt idx="3">
                  <c:v>-0.00296798873528216</c:v>
                </c:pt>
                <c:pt idx="4">
                  <c:v>-0.00235341000944358</c:v>
                </c:pt>
                <c:pt idx="5">
                  <c:v>-0.00180867406975952</c:v>
                </c:pt>
                <c:pt idx="6">
                  <c:v>-0.00131272064451893</c:v>
                </c:pt>
                <c:pt idx="7">
                  <c:v>-0.00084860275124473</c:v>
                </c:pt>
                <c:pt idx="8">
                  <c:v>-0.000403289431824071</c:v>
                </c:pt>
                <c:pt idx="9">
                  <c:v>3.37852408432588E-005</c:v>
                </c:pt>
                <c:pt idx="10">
                  <c:v>4.5089431894404E-005</c:v>
                </c:pt>
              </c:numCache>
            </c:numRef>
          </c:yVal>
        </c:ser>
        <c:ser>
          <c:idx val="2"/>
          <c:order val="2"/>
          <c:tx>
            <c:strRef>
              <c:f>'SS Rod Radial Profile_10'!$Q$40:$Q$40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'SS Rod Radial Profile_10'!$D$30:$M$30</c:f>
              <c:numCache>
                <c:formatCode>General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Profile_10'!$R$40:$AB$40</c:f>
              <c:numCache>
                <c:formatCode>General</c:formatCode>
                <c:ptCount val="11"/>
                <c:pt idx="0">
                  <c:v>-0.00339296024330305</c:v>
                </c:pt>
                <c:pt idx="1">
                  <c:v>-0.00354339617150047</c:v>
                </c:pt>
                <c:pt idx="2">
                  <c:v>-0.00314919206710139</c:v>
                </c:pt>
                <c:pt idx="3">
                  <c:v>-0.00247123243026141</c:v>
                </c:pt>
                <c:pt idx="4">
                  <c:v>-0.00187669322204031</c:v>
                </c:pt>
                <c:pt idx="5">
                  <c:v>-0.0013590803504231</c:v>
                </c:pt>
                <c:pt idx="6">
                  <c:v>-0.000896970304758314</c:v>
                </c:pt>
                <c:pt idx="7">
                  <c:v>-0.000472999960126248</c:v>
                </c:pt>
                <c:pt idx="8">
                  <c:v>-7.36693922004416E-005</c:v>
                </c:pt>
                <c:pt idx="9">
                  <c:v>0.000312079379881747</c:v>
                </c:pt>
                <c:pt idx="10">
                  <c:v>0.000267198848641847</c:v>
                </c:pt>
              </c:numCache>
            </c:numRef>
          </c:yVal>
        </c:ser>
        <c:axId val="20971956"/>
        <c:axId val="56959157"/>
      </c:scatterChart>
      <c:valAx>
        <c:axId val="209719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959157"/>
        <c:crossesAt val="0"/>
      </c:valAx>
      <c:valAx>
        <c:axId val="56959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719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Profile_10'!$B$38:$B$38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'SS Rod Radial Profile_10'!$C$37:$O$37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Profile_10'!$C$38:$O$38</c:f>
              <c:numCache>
                <c:formatCode>General</c:formatCode>
                <c:ptCount val="13"/>
                <c:pt idx="0">
                  <c:v>387.281691753449</c:v>
                </c:pt>
                <c:pt idx="1">
                  <c:v>386.953724791418</c:v>
                </c:pt>
                <c:pt idx="2">
                  <c:v>385.641856943295</c:v>
                </c:pt>
                <c:pt idx="3">
                  <c:v>383.018121247048</c:v>
                </c:pt>
                <c:pt idx="4">
                  <c:v>379.082517702678</c:v>
                </c:pt>
                <c:pt idx="5">
                  <c:v>373.835046310184</c:v>
                </c:pt>
                <c:pt idx="6">
                  <c:v>367.275707069567</c:v>
                </c:pt>
                <c:pt idx="7">
                  <c:v>359.404499980827</c:v>
                </c:pt>
                <c:pt idx="8">
                  <c:v>350.221425043963</c:v>
                </c:pt>
                <c:pt idx="9">
                  <c:v>339.726482258976</c:v>
                </c:pt>
                <c:pt idx="10">
                  <c:v>328.08404354353</c:v>
                </c:pt>
                <c:pt idx="11">
                  <c:v>300.712339140244</c:v>
                </c:pt>
                <c:pt idx="12">
                  <c:v>294.89828046181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Profile_10'!$B$39:$B$39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Profile_10'!$C$37:$O$37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Profile_10'!$C$39:$O$39</c:f>
              <c:numCache>
                <c:formatCode>General</c:formatCode>
                <c:ptCount val="13"/>
                <c:pt idx="0">
                  <c:v>385.797299814815</c:v>
                </c:pt>
                <c:pt idx="1">
                  <c:v>385.413105555556</c:v>
                </c:pt>
                <c:pt idx="2">
                  <c:v>384.260522777778</c:v>
                </c:pt>
                <c:pt idx="3">
                  <c:v>381.909991666667</c:v>
                </c:pt>
                <c:pt idx="4">
                  <c:v>378.217605555556</c:v>
                </c:pt>
                <c:pt idx="5">
                  <c:v>373.184220555556</c:v>
                </c:pt>
                <c:pt idx="6">
                  <c:v>366.816579444445</c:v>
                </c:pt>
                <c:pt idx="7">
                  <c:v>359.119843888889</c:v>
                </c:pt>
                <c:pt idx="8">
                  <c:v>350.097573888889</c:v>
                </c:pt>
                <c:pt idx="9">
                  <c:v>339.752201111111</c:v>
                </c:pt>
                <c:pt idx="10">
                  <c:v>328.109812222222</c:v>
                </c:pt>
                <c:pt idx="11">
                  <c:v>300.89144</c:v>
                </c:pt>
                <c:pt idx="12">
                  <c:v>295.322886666667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Profile_10'!$B$40:$B$40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Profile_10'!$C$37:$O$37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Profile_10'!$C$40:$O$40</c:f>
              <c:numCache>
                <c:formatCode>General</c:formatCode>
                <c:ptCount val="13"/>
                <c:pt idx="0">
                  <c:v>385.96766037037</c:v>
                </c:pt>
                <c:pt idx="1">
                  <c:v>385.582594444444</c:v>
                </c:pt>
                <c:pt idx="2">
                  <c:v>384.427396666667</c:v>
                </c:pt>
                <c:pt idx="3">
                  <c:v>382.071594444444</c:v>
                </c:pt>
                <c:pt idx="4">
                  <c:v>378.371096111111</c:v>
                </c:pt>
                <c:pt idx="5">
                  <c:v>373.326974444444</c:v>
                </c:pt>
                <c:pt idx="6">
                  <c:v>366.946271666667</c:v>
                </c:pt>
                <c:pt idx="7">
                  <c:v>359.234501666667</c:v>
                </c:pt>
                <c:pt idx="8">
                  <c:v>350.195624444444</c:v>
                </c:pt>
                <c:pt idx="9">
                  <c:v>339.832503888889</c:v>
                </c:pt>
                <c:pt idx="10">
                  <c:v>328.171707222222</c:v>
                </c:pt>
                <c:pt idx="11">
                  <c:v>300.909514444444</c:v>
                </c:pt>
                <c:pt idx="12">
                  <c:v>295.331771666667</c:v>
                </c:pt>
              </c:numCache>
            </c:numRef>
          </c:yVal>
        </c:ser>
        <c:axId val="10601117"/>
        <c:axId val="1686280"/>
      </c:scatterChart>
      <c:valAx>
        <c:axId val="10601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6280"/>
        <c:crossesAt val="0"/>
      </c:valAx>
      <c:valAx>
        <c:axId val="1686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011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Profile_10'!$B$31:$B$31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Profile_10'!$C$31:$O$31</c:f>
              <c:numCache>
                <c:formatCode>General</c:formatCode>
                <c:ptCount val="13"/>
                <c:pt idx="0">
                  <c:v>92.3834112916388</c:v>
                </c:pt>
                <c:pt idx="1">
                  <c:v>92.055444329608</c:v>
                </c:pt>
                <c:pt idx="2">
                  <c:v>90.7435764814846</c:v>
                </c:pt>
                <c:pt idx="3">
                  <c:v>88.1198407852378</c:v>
                </c:pt>
                <c:pt idx="4">
                  <c:v>84.1842372408676</c:v>
                </c:pt>
                <c:pt idx="5">
                  <c:v>78.936765848374</c:v>
                </c:pt>
                <c:pt idx="6">
                  <c:v>72.377426607757</c:v>
                </c:pt>
                <c:pt idx="7">
                  <c:v>64.5062195190166</c:v>
                </c:pt>
                <c:pt idx="8">
                  <c:v>55.3231445821529</c:v>
                </c:pt>
                <c:pt idx="9">
                  <c:v>44.8282017971659</c:v>
                </c:pt>
                <c:pt idx="10">
                  <c:v>33.1857630817195</c:v>
                </c:pt>
                <c:pt idx="11">
                  <c:v>5.81405867843346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Profile_10'!$B$32:$B$32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Profile_10'!$C$32:$O$32</c:f>
              <c:numCache>
                <c:formatCode>General</c:formatCode>
                <c:ptCount val="13"/>
                <c:pt idx="0">
                  <c:v>90.4744131481482</c:v>
                </c:pt>
                <c:pt idx="1">
                  <c:v>90.0902188888889</c:v>
                </c:pt>
                <c:pt idx="2">
                  <c:v>88.9376361111111</c:v>
                </c:pt>
                <c:pt idx="3">
                  <c:v>86.587105</c:v>
                </c:pt>
                <c:pt idx="4">
                  <c:v>82.8947188888889</c:v>
                </c:pt>
                <c:pt idx="5">
                  <c:v>77.8613338888889</c:v>
                </c:pt>
                <c:pt idx="6">
                  <c:v>71.4936927777778</c:v>
                </c:pt>
                <c:pt idx="7">
                  <c:v>63.7969572222222</c:v>
                </c:pt>
                <c:pt idx="8">
                  <c:v>54.7746872222222</c:v>
                </c:pt>
                <c:pt idx="9">
                  <c:v>44.4293144444444</c:v>
                </c:pt>
                <c:pt idx="10">
                  <c:v>32.7869255555556</c:v>
                </c:pt>
                <c:pt idx="11">
                  <c:v>5.56855333333336</c:v>
                </c:pt>
                <c:pt idx="12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Profile_10'!$B$33:$B$33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Profile_10'!$C$33:$O$33</c:f>
              <c:numCache>
                <c:formatCode>General</c:formatCode>
                <c:ptCount val="13"/>
                <c:pt idx="0">
                  <c:v>90.6358887037038</c:v>
                </c:pt>
                <c:pt idx="1">
                  <c:v>90.2508227777778</c:v>
                </c:pt>
                <c:pt idx="2">
                  <c:v>89.0956250000001</c:v>
                </c:pt>
                <c:pt idx="3">
                  <c:v>86.7398227777778</c:v>
                </c:pt>
                <c:pt idx="4">
                  <c:v>83.0393244444445</c:v>
                </c:pt>
                <c:pt idx="5">
                  <c:v>77.9952027777778</c:v>
                </c:pt>
                <c:pt idx="6">
                  <c:v>71.6145</c:v>
                </c:pt>
                <c:pt idx="7">
                  <c:v>63.9027300000001</c:v>
                </c:pt>
                <c:pt idx="8">
                  <c:v>54.8638527777778</c:v>
                </c:pt>
                <c:pt idx="9">
                  <c:v>44.5007322222222</c:v>
                </c:pt>
                <c:pt idx="10">
                  <c:v>32.8399355555556</c:v>
                </c:pt>
                <c:pt idx="11">
                  <c:v>5.57774277777778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Profile_10'!$B$34:$B$34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Profile_10'!$C$30:$O$30</c:f>
              <c:numCache>
                <c:formatCode>General</c:formatCode>
                <c:ptCount val="13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0.418001371391078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Profile_10'!$C$34:$O$34</c:f>
              <c:numCache>
                <c:formatCode>General</c:formatCode>
                <c:ptCount val="13"/>
                <c:pt idx="0">
                  <c:v>90.4457681481481</c:v>
                </c:pt>
                <c:pt idx="1">
                  <c:v>90.0617283333334</c:v>
                </c:pt>
                <c:pt idx="2">
                  <c:v>88.909608888889</c:v>
                </c:pt>
                <c:pt idx="3">
                  <c:v>86.5600133333334</c:v>
                </c:pt>
                <c:pt idx="4">
                  <c:v>82.8690666666667</c:v>
                </c:pt>
                <c:pt idx="5">
                  <c:v>77.8375861111111</c:v>
                </c:pt>
                <c:pt idx="6">
                  <c:v>71.4722622222222</c:v>
                </c:pt>
                <c:pt idx="7">
                  <c:v>63.7781938888889</c:v>
                </c:pt>
                <c:pt idx="8">
                  <c:v>54.75887</c:v>
                </c:pt>
                <c:pt idx="9">
                  <c:v>44.4166455555556</c:v>
                </c:pt>
                <c:pt idx="10">
                  <c:v>32.7775222222222</c:v>
                </c:pt>
                <c:pt idx="11">
                  <c:v>5.56692333333337</c:v>
                </c:pt>
                <c:pt idx="12">
                  <c:v>0</c:v>
                </c:pt>
              </c:numCache>
            </c:numRef>
          </c:yVal>
        </c:ser>
        <c:axId val="80303285"/>
        <c:axId val="16906846"/>
      </c:scatterChart>
      <c:valAx>
        <c:axId val="80303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906846"/>
        <c:crossesAt val="0"/>
      </c:valAx>
      <c:valAx>
        <c:axId val="16906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3032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Profile_10'!$Q$31:$Q$31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Profile_10'!$C$30:$M$30</c:f>
              <c:numCache>
                <c:formatCode>General</c:formatCode>
                <c:ptCount val="11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</c:numCache>
            </c:numRef>
          </c:xVal>
          <c:yVal>
            <c:numRef>
              <c:f>'SS Rod Radial Profile_10'!$R$31:$AD$31</c:f>
              <c:numCache>
                <c:formatCode>General</c:formatCode>
                <c:ptCount val="13"/>
                <c:pt idx="0">
                  <c:v>-1.90899814349064</c:v>
                </c:pt>
                <c:pt idx="1">
                  <c:v>-1.96522544071905</c:v>
                </c:pt>
                <c:pt idx="2">
                  <c:v>-1.80594037037345</c:v>
                </c:pt>
                <c:pt idx="3">
                  <c:v>-1.53273578523775</c:v>
                </c:pt>
                <c:pt idx="4">
                  <c:v>-1.28951835197867</c:v>
                </c:pt>
                <c:pt idx="5">
                  <c:v>-1.07543195948509</c:v>
                </c:pt>
                <c:pt idx="6">
                  <c:v>-0.883733829979192</c:v>
                </c:pt>
                <c:pt idx="7">
                  <c:v>-0.709262296794378</c:v>
                </c:pt>
                <c:pt idx="8">
                  <c:v>-0.548457359930652</c:v>
                </c:pt>
                <c:pt idx="9">
                  <c:v>-0.398887352721431</c:v>
                </c:pt>
                <c:pt idx="10">
                  <c:v>-0.398837526163909</c:v>
                </c:pt>
                <c:pt idx="11">
                  <c:v>-0.245505345100104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Profile_10'!$Q$32:$Q$32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'SS Rod Radial Profile_10'!$C$30:$M$30</c:f>
              <c:numCache>
                <c:formatCode>General</c:formatCode>
                <c:ptCount val="11"/>
                <c:pt idx="0">
                  <c:v>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</c:numCache>
            </c:numRef>
          </c:xVal>
          <c:yVal>
            <c:numRef>
              <c:f>'SS Rod Radial Profile_10'!$R$32:$AD$32</c:f>
              <c:numCache>
                <c:formatCode>General</c:formatCode>
                <c:ptCount val="13"/>
                <c:pt idx="0">
                  <c:v>-1.74752258793507</c:v>
                </c:pt>
                <c:pt idx="1">
                  <c:v>-1.80462155183017</c:v>
                </c:pt>
                <c:pt idx="2">
                  <c:v>-1.64795148148453</c:v>
                </c:pt>
                <c:pt idx="3">
                  <c:v>-1.38001800745997</c:v>
                </c:pt>
                <c:pt idx="4">
                  <c:v>-1.14491279642309</c:v>
                </c:pt>
                <c:pt idx="5">
                  <c:v>-0.941563070596146</c:v>
                </c:pt>
                <c:pt idx="6">
                  <c:v>-0.762926607756981</c:v>
                </c:pt>
                <c:pt idx="7">
                  <c:v>-0.603489519016549</c:v>
                </c:pt>
                <c:pt idx="8">
                  <c:v>-0.459291804375049</c:v>
                </c:pt>
                <c:pt idx="9">
                  <c:v>-0.327469574943649</c:v>
                </c:pt>
                <c:pt idx="10">
                  <c:v>-0.345827526163909</c:v>
                </c:pt>
                <c:pt idx="11">
                  <c:v>-0.236315900655681</c:v>
                </c:pt>
                <c:pt idx="12">
                  <c:v>0</c:v>
                </c:pt>
              </c:numCache>
            </c:numRef>
          </c:yVal>
        </c:ser>
        <c:axId val="94620141"/>
        <c:axId val="52555778"/>
      </c:scatterChart>
      <c:valAx>
        <c:axId val="946201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555778"/>
        <c:crossesAt val="0"/>
      </c:valAx>
      <c:valAx>
        <c:axId val="52555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6201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Profile_20'!$B$31:$B$31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Profile_20'!$C$31:$AO$31</c:f>
              <c:numCache>
                <c:formatCode>General</c:formatCode>
                <c:ptCount val="39"/>
                <c:pt idx="0">
                  <c:v>92.3834112916388</c:v>
                </c:pt>
                <c:pt idx="1">
                  <c:v>92.3055703493028</c:v>
                </c:pt>
                <c:pt idx="2">
                  <c:v>91.9942065799586</c:v>
                </c:pt>
                <c:pt idx="3">
                  <c:v>91.3714790412701</c:v>
                </c:pt>
                <c:pt idx="4">
                  <c:v>90.4373877332375</c:v>
                </c:pt>
                <c:pt idx="5">
                  <c:v>89.1919326558606</c:v>
                </c:pt>
                <c:pt idx="6">
                  <c:v>87.6351138091396</c:v>
                </c:pt>
                <c:pt idx="7">
                  <c:v>85.7669311930743</c:v>
                </c:pt>
                <c:pt idx="8">
                  <c:v>83.5873848076648</c:v>
                </c:pt>
                <c:pt idx="9">
                  <c:v>81.0964746529111</c:v>
                </c:pt>
                <c:pt idx="10">
                  <c:v>78.2942007288132</c:v>
                </c:pt>
                <c:pt idx="11">
                  <c:v>75.1805630353711</c:v>
                </c:pt>
                <c:pt idx="12">
                  <c:v>71.7555615725847</c:v>
                </c:pt>
                <c:pt idx="13">
                  <c:v>68.0191963404542</c:v>
                </c:pt>
                <c:pt idx="14">
                  <c:v>63.9714673389794</c:v>
                </c:pt>
                <c:pt idx="15">
                  <c:v>59.6123745681604</c:v>
                </c:pt>
                <c:pt idx="16">
                  <c:v>54.9419180279975</c:v>
                </c:pt>
                <c:pt idx="17">
                  <c:v>49.9600977184901</c:v>
                </c:pt>
                <c:pt idx="18">
                  <c:v>44.6669136396378</c:v>
                </c:pt>
                <c:pt idx="19">
                  <c:v>39.0623657914423</c:v>
                </c:pt>
                <c:pt idx="20">
                  <c:v>33.1857630817195</c:v>
                </c:pt>
                <c:pt idx="21">
                  <c:v>5.81405867843346</c:v>
                </c:pt>
                <c:pt idx="22">
                  <c:v>0</c:v>
                </c:pt>
                <c:pt idx="23">
                  <c:v>-3.96372848086904</c:v>
                </c:pt>
                <c:pt idx="24">
                  <c:v/>
                </c:pt>
                <c:pt idx="25">
                  <c:v/>
                </c:pt>
                <c:pt idx="26">
                  <c:v>-0.90279425460183</c:v>
                </c:pt>
                <c:pt idx="27">
                  <c:v>-0.916146460413898</c:v>
                </c:pt>
                <c:pt idx="28">
                  <c:v>-0.878362135514124</c:v>
                </c:pt>
                <c:pt idx="29">
                  <c:v>-0.813550152381296</c:v>
                </c:pt>
                <c:pt idx="30">
                  <c:v>-0.755843288793116</c:v>
                </c:pt>
                <c:pt idx="31">
                  <c:v>-0.704998766971755</c:v>
                </c:pt>
                <c:pt idx="32">
                  <c:v>-0.659366586917358</c:v>
                </c:pt>
                <c:pt idx="33">
                  <c:v>-0.617659526407635</c:v>
                </c:pt>
                <c:pt idx="34">
                  <c:v>-0.578965363220405</c:v>
                </c:pt>
                <c:pt idx="35">
                  <c:v>-0.542633541800015</c:v>
                </c:pt>
                <c:pt idx="36">
                  <c:v>-0.508192951035412</c:v>
                </c:pt>
                <c:pt idx="37">
                  <c:v>-0.475296924259993</c:v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Profile_20'!$B$32:$B$32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Profile_20'!$C$32:$AO$32</c:f>
              <c:numCache>
                <c:formatCode>General</c:formatCode>
                <c:ptCount val="39"/>
                <c:pt idx="0">
                  <c:v>91.480617037037</c:v>
                </c:pt>
                <c:pt idx="1">
                  <c:v>91.3894238888889</c:v>
                </c:pt>
                <c:pt idx="2">
                  <c:v>91.1158444444444</c:v>
                </c:pt>
                <c:pt idx="3">
                  <c:v>90.5579288888888</c:v>
                </c:pt>
                <c:pt idx="4">
                  <c:v>89.6815444444444</c:v>
                </c:pt>
                <c:pt idx="5">
                  <c:v>88.4869338888889</c:v>
                </c:pt>
                <c:pt idx="6">
                  <c:v>86.9757472222222</c:v>
                </c:pt>
                <c:pt idx="7">
                  <c:v>85.1492716666667</c:v>
                </c:pt>
                <c:pt idx="8">
                  <c:v>83.0084194444444</c:v>
                </c:pt>
                <c:pt idx="9">
                  <c:v>80.5538411111111</c:v>
                </c:pt>
                <c:pt idx="10">
                  <c:v>77.7860077777778</c:v>
                </c:pt>
                <c:pt idx="11">
                  <c:v>74.7052661111111</c:v>
                </c:pt>
                <c:pt idx="12">
                  <c:v>71.311875</c:v>
                </c:pt>
                <c:pt idx="13">
                  <c:v>67.6060288888889</c:v>
                </c:pt>
                <c:pt idx="14">
                  <c:v>63.5878727777778</c:v>
                </c:pt>
                <c:pt idx="15">
                  <c:v>59.2575166666666</c:v>
                </c:pt>
                <c:pt idx="16">
                  <c:v>54.6150416666666</c:v>
                </c:pt>
                <c:pt idx="17">
                  <c:v>49.6605061111111</c:v>
                </c:pt>
                <c:pt idx="18">
                  <c:v>44.3939522222222</c:v>
                </c:pt>
                <c:pt idx="19">
                  <c:v>38.8154061111111</c:v>
                </c:pt>
                <c:pt idx="20">
                  <c:v>32.9277961111111</c:v>
                </c:pt>
                <c:pt idx="21">
                  <c:v>5.59249222222219</c:v>
                </c:pt>
                <c:pt idx="22">
                  <c:v>0</c:v>
                </c:pt>
                <c:pt idx="23">
                  <c:v>-4.41120801905893</c:v>
                </c:pt>
                <c:pt idx="24">
                  <c:v/>
                </c:pt>
                <c:pt idx="25">
                  <c:v/>
                </c:pt>
                <c:pt idx="26">
                  <c:v>-0.748653884231445</c:v>
                </c:pt>
                <c:pt idx="27">
                  <c:v>-0.76220590485832</c:v>
                </c:pt>
                <c:pt idx="28">
                  <c:v>-0.725021024402992</c:v>
                </c:pt>
                <c:pt idx="29">
                  <c:v>-0.661428485714566</c:v>
                </c:pt>
                <c:pt idx="30">
                  <c:v>-0.605627733237483</c:v>
                </c:pt>
                <c:pt idx="31">
                  <c:v>-0.557363766971733</c:v>
                </c:pt>
                <c:pt idx="32">
                  <c:v>-0.514966031361766</c:v>
                </c:pt>
                <c:pt idx="33">
                  <c:v>-0.477124526407621</c:v>
                </c:pt>
                <c:pt idx="34">
                  <c:v>-0.442899807664801</c:v>
                </c:pt>
                <c:pt idx="35">
                  <c:v>-0.411612430688876</c:v>
                </c:pt>
                <c:pt idx="36">
                  <c:v>-0.382758506590974</c:v>
                </c:pt>
                <c:pt idx="37">
                  <c:v>-0.355955257593294</c:v>
                </c:pt>
                <c:pt idx="38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Profile_20'!$B$33:$B$33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Profile_20'!$C$33:$AO$33</c:f>
              <c:numCache>
                <c:formatCode>General</c:formatCode>
                <c:ptCount val="39"/>
                <c:pt idx="0">
                  <c:v>91.6347574074074</c:v>
                </c:pt>
                <c:pt idx="1">
                  <c:v>91.5433644444444</c:v>
                </c:pt>
                <c:pt idx="2">
                  <c:v>91.2691855555556</c:v>
                </c:pt>
                <c:pt idx="3">
                  <c:v>90.7100505555556</c:v>
                </c:pt>
                <c:pt idx="4">
                  <c:v>89.83176</c:v>
                </c:pt>
                <c:pt idx="5">
                  <c:v>88.6345688888889</c:v>
                </c:pt>
                <c:pt idx="6">
                  <c:v>87.1201477777778</c:v>
                </c:pt>
                <c:pt idx="7">
                  <c:v>85.2898066666667</c:v>
                </c:pt>
                <c:pt idx="8">
                  <c:v>83.144485</c:v>
                </c:pt>
                <c:pt idx="9">
                  <c:v>80.6848622222222</c:v>
                </c:pt>
                <c:pt idx="10">
                  <c:v>77.9114422222222</c:v>
                </c:pt>
                <c:pt idx="11">
                  <c:v>74.8246077777778</c:v>
                </c:pt>
                <c:pt idx="12">
                  <c:v>71.4246561111111</c:v>
                </c:pt>
                <c:pt idx="13">
                  <c:v>67.7118222222222</c:v>
                </c:pt>
                <c:pt idx="14">
                  <c:v>63.6862966666667</c:v>
                </c:pt>
                <c:pt idx="15">
                  <c:v>59.3482344444444</c:v>
                </c:pt>
                <c:pt idx="16">
                  <c:v>54.6977644444444</c:v>
                </c:pt>
                <c:pt idx="17">
                  <c:v>49.7349938888889</c:v>
                </c:pt>
                <c:pt idx="18">
                  <c:v>44.460015</c:v>
                </c:pt>
                <c:pt idx="19">
                  <c:v>38.8729061111111</c:v>
                </c:pt>
                <c:pt idx="20">
                  <c:v>32.9766483333333</c:v>
                </c:pt>
                <c:pt idx="21">
                  <c:v>5.60096333333332</c:v>
                </c:pt>
                <c:pt idx="22">
                  <c:v>0</c:v>
                </c:pt>
                <c:pt idx="23">
                  <c:v>-4.41939968572557</c:v>
                </c:pt>
                <c:pt idx="24">
                  <c:v/>
                </c:pt>
                <c:pt idx="25">
                  <c:v/>
                </c:pt>
                <c:pt idx="26">
                  <c:v>-0.930741662009169</c:v>
                </c:pt>
                <c:pt idx="27">
                  <c:v>-0.944057571524965</c:v>
                </c:pt>
                <c:pt idx="28">
                  <c:v>-0.906164357736316</c:v>
                </c:pt>
                <c:pt idx="29">
                  <c:v>-0.841131263492315</c:v>
                </c:pt>
                <c:pt idx="30">
                  <c:v>-0.783078844348552</c:v>
                </c:pt>
                <c:pt idx="31">
                  <c:v>-0.731766544749533</c:v>
                </c:pt>
                <c:pt idx="32">
                  <c:v>-0.685547142472885</c:v>
                </c:pt>
                <c:pt idx="33">
                  <c:v>-0.643139526407595</c:v>
                </c:pt>
                <c:pt idx="34">
                  <c:v>-0.603635363220334</c:v>
                </c:pt>
                <c:pt idx="35">
                  <c:v>-0.566388541799981</c:v>
                </c:pt>
                <c:pt idx="36">
                  <c:v>-0.530935173257632</c:v>
                </c:pt>
                <c:pt idx="37">
                  <c:v>-0.496934146482161</c:v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'SS Rod Radial Profile_20'!$B$34:$B$34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Profile_20'!$C$34:$AO$34</c:f>
              <c:numCache>
                <c:formatCode>General</c:formatCode>
                <c:ptCount val="39"/>
                <c:pt idx="0">
                  <c:v>91.4526696296297</c:v>
                </c:pt>
                <c:pt idx="1">
                  <c:v>91.3615127777778</c:v>
                </c:pt>
                <c:pt idx="2">
                  <c:v>91.0880422222222</c:v>
                </c:pt>
                <c:pt idx="3">
                  <c:v>90.5303477777778</c:v>
                </c:pt>
                <c:pt idx="4">
                  <c:v>89.6543088888889</c:v>
                </c:pt>
                <c:pt idx="5">
                  <c:v>88.4601661111111</c:v>
                </c:pt>
                <c:pt idx="6">
                  <c:v>86.9495666666667</c:v>
                </c:pt>
                <c:pt idx="7">
                  <c:v>85.1237916666667</c:v>
                </c:pt>
                <c:pt idx="8">
                  <c:v>82.9837494444445</c:v>
                </c:pt>
                <c:pt idx="9">
                  <c:v>80.5300861111111</c:v>
                </c:pt>
                <c:pt idx="10">
                  <c:v>77.7632655555556</c:v>
                </c:pt>
                <c:pt idx="11">
                  <c:v>74.6836288888889</c:v>
                </c:pt>
                <c:pt idx="12">
                  <c:v>71.2914272222222</c:v>
                </c:pt>
                <c:pt idx="13">
                  <c:v>67.5868477777778</c:v>
                </c:pt>
                <c:pt idx="14">
                  <c:v>63.5700277777778</c:v>
                </c:pt>
                <c:pt idx="15">
                  <c:v>59.2410688888889</c:v>
                </c:pt>
                <c:pt idx="16">
                  <c:v>54.6000433333333</c:v>
                </c:pt>
                <c:pt idx="17">
                  <c:v>49.6470016666667</c:v>
                </c:pt>
                <c:pt idx="18">
                  <c:v>44.381975</c:v>
                </c:pt>
                <c:pt idx="19">
                  <c:v>38.8049816666667</c:v>
                </c:pt>
                <c:pt idx="20">
                  <c:v>32.9189388888889</c:v>
                </c:pt>
                <c:pt idx="21">
                  <c:v>5.59095666666666</c:v>
                </c:pt>
                <c:pt idx="22">
                  <c:v>0</c:v>
                </c:pt>
                <c:pt idx="23">
                  <c:v>-4.40972635239221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63437567"/>
        <c:axId val="59133409"/>
      </c:scatterChart>
      <c:valAx>
        <c:axId val="6343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133409"/>
        <c:crossesAt val="0"/>
      </c:valAx>
      <c:valAx>
        <c:axId val="59133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43756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Profile_20'!$AB$39:$AB$39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Profile_20'!$D$30:$M$30</c:f>
              <c:numCache>
                <c:formatCode>General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0.0951050749101949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Profile_20'!$AC$39:$AM$39</c:f>
              <c:numCache>
                <c:formatCode>General</c:formatCode>
                <c:ptCount val="11"/>
                <c:pt idx="0">
                  <c:v>-0.00117566806308479</c:v>
                </c:pt>
                <c:pt idx="1">
                  <c:v>-0.00121038807140561</c:v>
                </c:pt>
                <c:pt idx="2">
                  <c:v>-0.00111370112306633</c:v>
                </c:pt>
                <c:pt idx="3">
                  <c:v>-0.000947707153317945</c:v>
                </c:pt>
                <c:pt idx="4">
                  <c:v>-0.000800247098971396</c:v>
                </c:pt>
                <c:pt idx="5">
                  <c:v>-0.000670465479168619</c:v>
                </c:pt>
                <c:pt idx="6">
                  <c:v>-0.00055390470976098</c:v>
                </c:pt>
                <c:pt idx="7">
                  <c:v>-0.000447059471176693</c:v>
                </c:pt>
                <c:pt idx="8">
                  <c:v>-0.000347399748777786</c:v>
                </c:pt>
                <c:pt idx="9">
                  <c:v>-0.000253072688689844</c:v>
                </c:pt>
                <c:pt idx="10">
                  <c:v>-0.00016268659178725</c:v>
                </c:pt>
              </c:numCache>
            </c:numRef>
          </c:yVal>
        </c:ser>
        <c:ser>
          <c:idx val="1"/>
          <c:order val="1"/>
          <c:tx>
            <c:strRef>
              <c:f>'SS Rod Radial Profile_20'!$AB$41:$AB$41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'SS Rod Radial Profile_20'!$D$30:$M$30</c:f>
              <c:numCache>
                <c:formatCode>General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0.0951050749101949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Profile_20'!$AC$41:$AM$41</c:f>
              <c:numCache>
                <c:formatCode>General</c:formatCode>
                <c:ptCount val="11"/>
                <c:pt idx="0">
                  <c:v>-0.00125165687097491</c:v>
                </c:pt>
                <c:pt idx="1">
                  <c:v>-0.0012862984160888</c:v>
                </c:pt>
                <c:pt idx="2">
                  <c:v>-0.00118939111413522</c:v>
                </c:pt>
                <c:pt idx="3">
                  <c:v>-0.00102294674187672</c:v>
                </c:pt>
                <c:pt idx="4">
                  <c:v>-0.000874772310604706</c:v>
                </c:pt>
                <c:pt idx="5">
                  <c:v>-0.000744014461880622</c:v>
                </c:pt>
                <c:pt idx="6">
                  <c:v>-0.000626217931656089</c:v>
                </c:pt>
                <c:pt idx="7">
                  <c:v>-0.000517887237521363</c:v>
                </c:pt>
                <c:pt idx="8">
                  <c:v>-0.000416495276208023</c:v>
                </c:pt>
                <c:pt idx="9">
                  <c:v>-0.000320192419280008</c:v>
                </c:pt>
                <c:pt idx="10">
                  <c:v>-0.000227596497827234</c:v>
                </c:pt>
              </c:numCache>
            </c:numRef>
          </c:yVal>
        </c:ser>
        <c:ser>
          <c:idx val="2"/>
          <c:order val="2"/>
          <c:tx>
            <c:strRef>
              <c:f>'SS Rod Radial Profile_20'!$AB$40:$AB$40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'SS Rod Radial Profile_20'!$D$30:$M$30</c:f>
              <c:numCache>
                <c:formatCode>General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0.0951050749101949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Profile_20'!$AC$40:$AM$40</c:f>
              <c:numCache>
                <c:formatCode>General</c:formatCode>
                <c:ptCount val="11"/>
                <c:pt idx="0">
                  <c:v>-0.000756510533840144</c:v>
                </c:pt>
                <c:pt idx="1">
                  <c:v>-0.00079166232298485</c:v>
                </c:pt>
                <c:pt idx="2">
                  <c:v>-0.00069618777455719</c:v>
                </c:pt>
                <c:pt idx="3">
                  <c:v>-0.000532677683913974</c:v>
                </c:pt>
                <c:pt idx="4">
                  <c:v>-0.000389158182743359</c:v>
                </c:pt>
                <c:pt idx="5">
                  <c:v>-0.000264762179931019</c:v>
                </c:pt>
                <c:pt idx="6">
                  <c:v>-0.000155005621452403</c:v>
                </c:pt>
                <c:pt idx="7">
                  <c:v>-5.63574524129902E-005</c:v>
                </c:pt>
                <c:pt idx="8">
                  <c:v>3.37434105533016E-005</c:v>
                </c:pt>
                <c:pt idx="9">
                  <c:v>0.000117179225423642</c:v>
                </c:pt>
                <c:pt idx="10">
                  <c:v>0.000195375582147142</c:v>
                </c:pt>
              </c:numCache>
            </c:numRef>
          </c:yVal>
        </c:ser>
        <c:axId val="51913372"/>
        <c:axId val="78643818"/>
      </c:scatterChart>
      <c:valAx>
        <c:axId val="519133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643818"/>
        <c:crossesAt val="0"/>
      </c:valAx>
      <c:valAx>
        <c:axId val="78643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1337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Profile_20'!$B$38:$B$38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'SS Rod Radial Profile_20'!$C$37:$AO$37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Profile_20'!$C$38:$AO$38</c:f>
              <c:numCache>
                <c:formatCode>General</c:formatCode>
                <c:ptCount val="39"/>
                <c:pt idx="0">
                  <c:v>387.281691753449</c:v>
                </c:pt>
                <c:pt idx="1">
                  <c:v>387.203850811113</c:v>
                </c:pt>
                <c:pt idx="2">
                  <c:v>386.892487041769</c:v>
                </c:pt>
                <c:pt idx="3">
                  <c:v>386.26975950308</c:v>
                </c:pt>
                <c:pt idx="4">
                  <c:v>385.335668195048</c:v>
                </c:pt>
                <c:pt idx="5">
                  <c:v>384.090213117671</c:v>
                </c:pt>
                <c:pt idx="6">
                  <c:v>382.53339427095</c:v>
                </c:pt>
                <c:pt idx="7">
                  <c:v>380.665211654884</c:v>
                </c:pt>
                <c:pt idx="8">
                  <c:v>378.485665269475</c:v>
                </c:pt>
                <c:pt idx="9">
                  <c:v>375.994755114721</c:v>
                </c:pt>
                <c:pt idx="10">
                  <c:v>373.192481190623</c:v>
                </c:pt>
                <c:pt idx="11">
                  <c:v>370.078843497181</c:v>
                </c:pt>
                <c:pt idx="12">
                  <c:v>366.653842034395</c:v>
                </c:pt>
                <c:pt idx="13">
                  <c:v>362.917476802264</c:v>
                </c:pt>
                <c:pt idx="14">
                  <c:v>358.86974780079</c:v>
                </c:pt>
                <c:pt idx="15">
                  <c:v>354.510655029971</c:v>
                </c:pt>
                <c:pt idx="16">
                  <c:v>349.840198489808</c:v>
                </c:pt>
                <c:pt idx="17">
                  <c:v>344.8583781803</c:v>
                </c:pt>
                <c:pt idx="18">
                  <c:v>339.565194101448</c:v>
                </c:pt>
                <c:pt idx="19">
                  <c:v>333.960646253252</c:v>
                </c:pt>
                <c:pt idx="20">
                  <c:v>328.08404354353</c:v>
                </c:pt>
                <c:pt idx="21">
                  <c:v>300.712339140244</c:v>
                </c:pt>
                <c:pt idx="22">
                  <c:v>294.89828046181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Profile_20'!$B$39:$B$39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Profile_20'!$C$37:$AO$37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Profile_20'!$C$39:$AO$39</c:f>
              <c:numCache>
                <c:formatCode>General</c:formatCode>
                <c:ptCount val="39"/>
                <c:pt idx="0">
                  <c:v>386.826377037037</c:v>
                </c:pt>
                <c:pt idx="1">
                  <c:v>386.735183888889</c:v>
                </c:pt>
                <c:pt idx="2">
                  <c:v>386.461604444444</c:v>
                </c:pt>
                <c:pt idx="3">
                  <c:v>385.903688888889</c:v>
                </c:pt>
                <c:pt idx="4">
                  <c:v>385.027304444444</c:v>
                </c:pt>
                <c:pt idx="5">
                  <c:v>383.832693888889</c:v>
                </c:pt>
                <c:pt idx="6">
                  <c:v>382.321507222222</c:v>
                </c:pt>
                <c:pt idx="7">
                  <c:v>380.495031666667</c:v>
                </c:pt>
                <c:pt idx="8">
                  <c:v>378.354179444444</c:v>
                </c:pt>
                <c:pt idx="9">
                  <c:v>375.899601111111</c:v>
                </c:pt>
                <c:pt idx="10">
                  <c:v>373.131767777778</c:v>
                </c:pt>
                <c:pt idx="11">
                  <c:v>370.051026111111</c:v>
                </c:pt>
                <c:pt idx="12">
                  <c:v>366.657635</c:v>
                </c:pt>
                <c:pt idx="13">
                  <c:v>362.951788888889</c:v>
                </c:pt>
                <c:pt idx="14">
                  <c:v>358.933632777778</c:v>
                </c:pt>
                <c:pt idx="15">
                  <c:v>354.603276666667</c:v>
                </c:pt>
                <c:pt idx="16">
                  <c:v>349.960801666667</c:v>
                </c:pt>
                <c:pt idx="17">
                  <c:v>345.006266111111</c:v>
                </c:pt>
                <c:pt idx="18">
                  <c:v>339.739712222222</c:v>
                </c:pt>
                <c:pt idx="19">
                  <c:v>334.161166111111</c:v>
                </c:pt>
                <c:pt idx="20">
                  <c:v>328.273556111111</c:v>
                </c:pt>
                <c:pt idx="21">
                  <c:v>300.938252222222</c:v>
                </c:pt>
                <c:pt idx="22">
                  <c:v>295.34576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>-0.00117566806308479</c:v>
                </c:pt>
                <c:pt idx="27">
                  <c:v>-0.00121038807140561</c:v>
                </c:pt>
                <c:pt idx="28">
                  <c:v>-0.00111370112306633</c:v>
                </c:pt>
                <c:pt idx="29">
                  <c:v>-0.000947707153317945</c:v>
                </c:pt>
                <c:pt idx="30">
                  <c:v>-0.000800247098971396</c:v>
                </c:pt>
                <c:pt idx="31">
                  <c:v>-0.000670465479168619</c:v>
                </c:pt>
                <c:pt idx="32">
                  <c:v>-0.00055390470976098</c:v>
                </c:pt>
                <c:pt idx="33">
                  <c:v>-0.000447059471176693</c:v>
                </c:pt>
                <c:pt idx="34">
                  <c:v>-0.000347399748777786</c:v>
                </c:pt>
                <c:pt idx="35">
                  <c:v>-0.000253072688689844</c:v>
                </c:pt>
                <c:pt idx="36">
                  <c:v>-0.00016268659178725</c:v>
                </c:pt>
                <c:pt idx="37">
                  <c:v>-7.5166107328139E-005</c:v>
                </c:pt>
                <c:pt idx="38">
                  <c:v>1.03448134732617E-005</c:v>
                </c:pt>
              </c:numCache>
            </c:numRef>
          </c:yVal>
        </c:ser>
        <c:ser>
          <c:idx val="2"/>
          <c:order val="2"/>
          <c:tx>
            <c:strRef>
              <c:f>'SS Rod Radial Profile_20'!$B$40:$B$40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Profile_20'!$C$37:$AO$37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Profile_20'!$C$40:$AO$40</c:f>
              <c:numCache>
                <c:formatCode>General</c:formatCode>
                <c:ptCount val="39"/>
                <c:pt idx="0">
                  <c:v>386.988709074074</c:v>
                </c:pt>
                <c:pt idx="1">
                  <c:v>386.897316111111</c:v>
                </c:pt>
                <c:pt idx="2">
                  <c:v>386.623137222222</c:v>
                </c:pt>
                <c:pt idx="3">
                  <c:v>386.064002222222</c:v>
                </c:pt>
                <c:pt idx="4">
                  <c:v>385.185711666667</c:v>
                </c:pt>
                <c:pt idx="5">
                  <c:v>383.988520555556</c:v>
                </c:pt>
                <c:pt idx="6">
                  <c:v>382.474099444445</c:v>
                </c:pt>
                <c:pt idx="7">
                  <c:v>380.643758333333</c:v>
                </c:pt>
                <c:pt idx="8">
                  <c:v>378.498436666667</c:v>
                </c:pt>
                <c:pt idx="9">
                  <c:v>376.038813888889</c:v>
                </c:pt>
                <c:pt idx="10">
                  <c:v>373.265393888889</c:v>
                </c:pt>
                <c:pt idx="11">
                  <c:v>370.178559444445</c:v>
                </c:pt>
                <c:pt idx="12">
                  <c:v>366.778607777778</c:v>
                </c:pt>
                <c:pt idx="13">
                  <c:v>363.065773888889</c:v>
                </c:pt>
                <c:pt idx="14">
                  <c:v>359.040248333333</c:v>
                </c:pt>
                <c:pt idx="15">
                  <c:v>354.702186111111</c:v>
                </c:pt>
                <c:pt idx="16">
                  <c:v>350.051716111111</c:v>
                </c:pt>
                <c:pt idx="17">
                  <c:v>345.088945555556</c:v>
                </c:pt>
                <c:pt idx="18">
                  <c:v>339.813966666667</c:v>
                </c:pt>
                <c:pt idx="19">
                  <c:v>334.226857777778</c:v>
                </c:pt>
                <c:pt idx="20">
                  <c:v>328.3306</c:v>
                </c:pt>
                <c:pt idx="21">
                  <c:v>300.954915</c:v>
                </c:pt>
                <c:pt idx="22">
                  <c:v>295.353951666667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>-0.000756510533840144</c:v>
                </c:pt>
                <c:pt idx="27">
                  <c:v>-0.00079166232298485</c:v>
                </c:pt>
                <c:pt idx="28">
                  <c:v>-0.00069618777455719</c:v>
                </c:pt>
                <c:pt idx="29">
                  <c:v>-0.000532677683913974</c:v>
                </c:pt>
                <c:pt idx="30">
                  <c:v>-0.000389158182743359</c:v>
                </c:pt>
                <c:pt idx="31">
                  <c:v>-0.000264762179931019</c:v>
                </c:pt>
                <c:pt idx="32">
                  <c:v>-0.000155005621452403</c:v>
                </c:pt>
                <c:pt idx="33">
                  <c:v>-5.63574524129902E-005</c:v>
                </c:pt>
                <c:pt idx="34">
                  <c:v>3.37434105533016E-005</c:v>
                </c:pt>
                <c:pt idx="35">
                  <c:v>0.000117179225423642</c:v>
                </c:pt>
                <c:pt idx="36">
                  <c:v>0.000195375582147142</c:v>
                </c:pt>
                <c:pt idx="37">
                  <c:v>0.000269445143961585</c:v>
                </c:pt>
                <c:pt idx="38">
                  <c:v>0.00034028211102505</c:v>
                </c:pt>
              </c:numCache>
            </c:numRef>
          </c:yVal>
        </c:ser>
        <c:axId val="6640615"/>
        <c:axId val="31484650"/>
      </c:scatterChart>
      <c:valAx>
        <c:axId val="6640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84650"/>
        <c:crossesAt val="0"/>
      </c:valAx>
      <c:valAx>
        <c:axId val="31484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406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Profile_20'!$B$31:$B$31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Profile_20'!$C$31:$AO$31</c:f>
              <c:numCache>
                <c:formatCode>General</c:formatCode>
                <c:ptCount val="39"/>
                <c:pt idx="0">
                  <c:v>92.3834112916388</c:v>
                </c:pt>
                <c:pt idx="1">
                  <c:v>92.3055703493028</c:v>
                </c:pt>
                <c:pt idx="2">
                  <c:v>91.9942065799586</c:v>
                </c:pt>
                <c:pt idx="3">
                  <c:v>91.3714790412701</c:v>
                </c:pt>
                <c:pt idx="4">
                  <c:v>90.4373877332375</c:v>
                </c:pt>
                <c:pt idx="5">
                  <c:v>89.1919326558606</c:v>
                </c:pt>
                <c:pt idx="6">
                  <c:v>87.6351138091396</c:v>
                </c:pt>
                <c:pt idx="7">
                  <c:v>85.7669311930743</c:v>
                </c:pt>
                <c:pt idx="8">
                  <c:v>83.5873848076648</c:v>
                </c:pt>
                <c:pt idx="9">
                  <c:v>81.0964746529111</c:v>
                </c:pt>
                <c:pt idx="10">
                  <c:v>78.2942007288132</c:v>
                </c:pt>
                <c:pt idx="11">
                  <c:v>75.1805630353711</c:v>
                </c:pt>
                <c:pt idx="12">
                  <c:v>71.7555615725847</c:v>
                </c:pt>
                <c:pt idx="13">
                  <c:v>68.0191963404542</c:v>
                </c:pt>
                <c:pt idx="14">
                  <c:v>63.9714673389794</c:v>
                </c:pt>
                <c:pt idx="15">
                  <c:v>59.6123745681604</c:v>
                </c:pt>
                <c:pt idx="16">
                  <c:v>54.9419180279975</c:v>
                </c:pt>
                <c:pt idx="17">
                  <c:v>49.9600977184901</c:v>
                </c:pt>
                <c:pt idx="18">
                  <c:v>44.6669136396378</c:v>
                </c:pt>
                <c:pt idx="19">
                  <c:v>39.0623657914423</c:v>
                </c:pt>
                <c:pt idx="20">
                  <c:v>33.1857630817195</c:v>
                </c:pt>
                <c:pt idx="21">
                  <c:v>5.81405867843346</c:v>
                </c:pt>
                <c:pt idx="22">
                  <c:v>0</c:v>
                </c:pt>
                <c:pt idx="23">
                  <c:v>-3.96372848086904</c:v>
                </c:pt>
                <c:pt idx="24">
                  <c:v/>
                </c:pt>
                <c:pt idx="25">
                  <c:v/>
                </c:pt>
                <c:pt idx="26">
                  <c:v>-0.90279425460183</c:v>
                </c:pt>
                <c:pt idx="27">
                  <c:v>-0.916146460413898</c:v>
                </c:pt>
                <c:pt idx="28">
                  <c:v>-0.878362135514124</c:v>
                </c:pt>
                <c:pt idx="29">
                  <c:v>-0.813550152381296</c:v>
                </c:pt>
                <c:pt idx="30">
                  <c:v>-0.755843288793116</c:v>
                </c:pt>
                <c:pt idx="31">
                  <c:v>-0.704998766971755</c:v>
                </c:pt>
                <c:pt idx="32">
                  <c:v>-0.659366586917358</c:v>
                </c:pt>
                <c:pt idx="33">
                  <c:v>-0.617659526407635</c:v>
                </c:pt>
                <c:pt idx="34">
                  <c:v>-0.578965363220405</c:v>
                </c:pt>
                <c:pt idx="35">
                  <c:v>-0.542633541800015</c:v>
                </c:pt>
                <c:pt idx="36">
                  <c:v>-0.508192951035412</c:v>
                </c:pt>
                <c:pt idx="37">
                  <c:v>-0.475296924259993</c:v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Profile_20'!$B$32:$B$32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Profile_20'!$C$32:$AO$32</c:f>
              <c:numCache>
                <c:formatCode>General</c:formatCode>
                <c:ptCount val="39"/>
                <c:pt idx="0">
                  <c:v>91.480617037037</c:v>
                </c:pt>
                <c:pt idx="1">
                  <c:v>91.3894238888889</c:v>
                </c:pt>
                <c:pt idx="2">
                  <c:v>91.1158444444444</c:v>
                </c:pt>
                <c:pt idx="3">
                  <c:v>90.5579288888888</c:v>
                </c:pt>
                <c:pt idx="4">
                  <c:v>89.6815444444444</c:v>
                </c:pt>
                <c:pt idx="5">
                  <c:v>88.4869338888889</c:v>
                </c:pt>
                <c:pt idx="6">
                  <c:v>86.9757472222222</c:v>
                </c:pt>
                <c:pt idx="7">
                  <c:v>85.1492716666667</c:v>
                </c:pt>
                <c:pt idx="8">
                  <c:v>83.0084194444444</c:v>
                </c:pt>
                <c:pt idx="9">
                  <c:v>80.5538411111111</c:v>
                </c:pt>
                <c:pt idx="10">
                  <c:v>77.7860077777778</c:v>
                </c:pt>
                <c:pt idx="11">
                  <c:v>74.7052661111111</c:v>
                </c:pt>
                <c:pt idx="12">
                  <c:v>71.311875</c:v>
                </c:pt>
                <c:pt idx="13">
                  <c:v>67.6060288888889</c:v>
                </c:pt>
                <c:pt idx="14">
                  <c:v>63.5878727777778</c:v>
                </c:pt>
                <c:pt idx="15">
                  <c:v>59.2575166666666</c:v>
                </c:pt>
                <c:pt idx="16">
                  <c:v>54.6150416666666</c:v>
                </c:pt>
                <c:pt idx="17">
                  <c:v>49.6605061111111</c:v>
                </c:pt>
                <c:pt idx="18">
                  <c:v>44.3939522222222</c:v>
                </c:pt>
                <c:pt idx="19">
                  <c:v>38.8154061111111</c:v>
                </c:pt>
                <c:pt idx="20">
                  <c:v>32.9277961111111</c:v>
                </c:pt>
                <c:pt idx="21">
                  <c:v>5.59249222222219</c:v>
                </c:pt>
                <c:pt idx="22">
                  <c:v>0</c:v>
                </c:pt>
                <c:pt idx="23">
                  <c:v>-4.41120801905893</c:v>
                </c:pt>
                <c:pt idx="24">
                  <c:v/>
                </c:pt>
                <c:pt idx="25">
                  <c:v/>
                </c:pt>
                <c:pt idx="26">
                  <c:v>-0.748653884231445</c:v>
                </c:pt>
                <c:pt idx="27">
                  <c:v>-0.76220590485832</c:v>
                </c:pt>
                <c:pt idx="28">
                  <c:v>-0.725021024402992</c:v>
                </c:pt>
                <c:pt idx="29">
                  <c:v>-0.661428485714566</c:v>
                </c:pt>
                <c:pt idx="30">
                  <c:v>-0.605627733237483</c:v>
                </c:pt>
                <c:pt idx="31">
                  <c:v>-0.557363766971733</c:v>
                </c:pt>
                <c:pt idx="32">
                  <c:v>-0.514966031361766</c:v>
                </c:pt>
                <c:pt idx="33">
                  <c:v>-0.477124526407621</c:v>
                </c:pt>
                <c:pt idx="34">
                  <c:v>-0.442899807664801</c:v>
                </c:pt>
                <c:pt idx="35">
                  <c:v>-0.411612430688876</c:v>
                </c:pt>
                <c:pt idx="36">
                  <c:v>-0.382758506590974</c:v>
                </c:pt>
                <c:pt idx="37">
                  <c:v>-0.355955257593294</c:v>
                </c:pt>
                <c:pt idx="38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Profile_20'!$B$33:$B$33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Profile_20'!$C$33:$AO$33</c:f>
              <c:numCache>
                <c:formatCode>General</c:formatCode>
                <c:ptCount val="39"/>
                <c:pt idx="0">
                  <c:v>91.6347574074074</c:v>
                </c:pt>
                <c:pt idx="1">
                  <c:v>91.5433644444444</c:v>
                </c:pt>
                <c:pt idx="2">
                  <c:v>91.2691855555556</c:v>
                </c:pt>
                <c:pt idx="3">
                  <c:v>90.7100505555556</c:v>
                </c:pt>
                <c:pt idx="4">
                  <c:v>89.83176</c:v>
                </c:pt>
                <c:pt idx="5">
                  <c:v>88.6345688888889</c:v>
                </c:pt>
                <c:pt idx="6">
                  <c:v>87.1201477777778</c:v>
                </c:pt>
                <c:pt idx="7">
                  <c:v>85.2898066666667</c:v>
                </c:pt>
                <c:pt idx="8">
                  <c:v>83.144485</c:v>
                </c:pt>
                <c:pt idx="9">
                  <c:v>80.6848622222222</c:v>
                </c:pt>
                <c:pt idx="10">
                  <c:v>77.9114422222222</c:v>
                </c:pt>
                <c:pt idx="11">
                  <c:v>74.8246077777778</c:v>
                </c:pt>
                <c:pt idx="12">
                  <c:v>71.4246561111111</c:v>
                </c:pt>
                <c:pt idx="13">
                  <c:v>67.7118222222222</c:v>
                </c:pt>
                <c:pt idx="14">
                  <c:v>63.6862966666667</c:v>
                </c:pt>
                <c:pt idx="15">
                  <c:v>59.3482344444444</c:v>
                </c:pt>
                <c:pt idx="16">
                  <c:v>54.6977644444444</c:v>
                </c:pt>
                <c:pt idx="17">
                  <c:v>49.7349938888889</c:v>
                </c:pt>
                <c:pt idx="18">
                  <c:v>44.460015</c:v>
                </c:pt>
                <c:pt idx="19">
                  <c:v>38.8729061111111</c:v>
                </c:pt>
                <c:pt idx="20">
                  <c:v>32.9766483333333</c:v>
                </c:pt>
                <c:pt idx="21">
                  <c:v>5.60096333333332</c:v>
                </c:pt>
                <c:pt idx="22">
                  <c:v>0</c:v>
                </c:pt>
                <c:pt idx="23">
                  <c:v>-4.41939968572557</c:v>
                </c:pt>
                <c:pt idx="24">
                  <c:v/>
                </c:pt>
                <c:pt idx="25">
                  <c:v/>
                </c:pt>
                <c:pt idx="26">
                  <c:v>-0.930741662009169</c:v>
                </c:pt>
                <c:pt idx="27">
                  <c:v>-0.944057571524965</c:v>
                </c:pt>
                <c:pt idx="28">
                  <c:v>-0.906164357736316</c:v>
                </c:pt>
                <c:pt idx="29">
                  <c:v>-0.841131263492315</c:v>
                </c:pt>
                <c:pt idx="30">
                  <c:v>-0.783078844348552</c:v>
                </c:pt>
                <c:pt idx="31">
                  <c:v>-0.731766544749533</c:v>
                </c:pt>
                <c:pt idx="32">
                  <c:v>-0.685547142472885</c:v>
                </c:pt>
                <c:pt idx="33">
                  <c:v>-0.643139526407595</c:v>
                </c:pt>
                <c:pt idx="34">
                  <c:v>-0.603635363220334</c:v>
                </c:pt>
                <c:pt idx="35">
                  <c:v>-0.566388541799981</c:v>
                </c:pt>
                <c:pt idx="36">
                  <c:v>-0.530935173257632</c:v>
                </c:pt>
                <c:pt idx="37">
                  <c:v>-0.496934146482161</c:v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'SS Rod Radial Profile_20'!$B$34:$B$34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Profile_20'!$C$30:$AO$30</c:f>
              <c:numCache>
                <c:formatCode>General</c:formatCode>
                <c:ptCount val="39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0.418001371391078</c:v>
                </c:pt>
                <c:pt idx="22">
                  <c:v>0.475001558398949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Profile_20'!$C$34:$AO$34</c:f>
              <c:numCache>
                <c:formatCode>General</c:formatCode>
                <c:ptCount val="39"/>
                <c:pt idx="0">
                  <c:v>91.4526696296297</c:v>
                </c:pt>
                <c:pt idx="1">
                  <c:v>91.3615127777778</c:v>
                </c:pt>
                <c:pt idx="2">
                  <c:v>91.0880422222222</c:v>
                </c:pt>
                <c:pt idx="3">
                  <c:v>90.5303477777778</c:v>
                </c:pt>
                <c:pt idx="4">
                  <c:v>89.6543088888889</c:v>
                </c:pt>
                <c:pt idx="5">
                  <c:v>88.4601661111111</c:v>
                </c:pt>
                <c:pt idx="6">
                  <c:v>86.9495666666667</c:v>
                </c:pt>
                <c:pt idx="7">
                  <c:v>85.1237916666667</c:v>
                </c:pt>
                <c:pt idx="8">
                  <c:v>82.9837494444445</c:v>
                </c:pt>
                <c:pt idx="9">
                  <c:v>80.5300861111111</c:v>
                </c:pt>
                <c:pt idx="10">
                  <c:v>77.7632655555556</c:v>
                </c:pt>
                <c:pt idx="11">
                  <c:v>74.6836288888889</c:v>
                </c:pt>
                <c:pt idx="12">
                  <c:v>71.2914272222222</c:v>
                </c:pt>
                <c:pt idx="13">
                  <c:v>67.5868477777778</c:v>
                </c:pt>
                <c:pt idx="14">
                  <c:v>63.5700277777778</c:v>
                </c:pt>
                <c:pt idx="15">
                  <c:v>59.2410688888889</c:v>
                </c:pt>
                <c:pt idx="16">
                  <c:v>54.6000433333333</c:v>
                </c:pt>
                <c:pt idx="17">
                  <c:v>49.6470016666667</c:v>
                </c:pt>
                <c:pt idx="18">
                  <c:v>44.381975</c:v>
                </c:pt>
                <c:pt idx="19">
                  <c:v>38.8049816666667</c:v>
                </c:pt>
                <c:pt idx="20">
                  <c:v>32.9189388888889</c:v>
                </c:pt>
                <c:pt idx="21">
                  <c:v>5.59095666666666</c:v>
                </c:pt>
                <c:pt idx="22">
                  <c:v>0</c:v>
                </c:pt>
                <c:pt idx="23">
                  <c:v>-4.40972635239221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42822006"/>
        <c:axId val="22501264"/>
      </c:scatterChart>
      <c:valAx>
        <c:axId val="42822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501264"/>
        <c:crossesAt val="0"/>
      </c:valAx>
      <c:valAx>
        <c:axId val="22501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220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Profile_20'!$AB$31:$AB$31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7"/>
          </c:marker>
          <c:xVal>
            <c:numRef>
              <c:f>'SS Rod Radial Profile_20'!$C$30:$M$30</c:f>
              <c:numCache>
                <c:formatCode>General</c:formatCode>
                <c:ptCount val="11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</c:numCache>
            </c:numRef>
          </c:xVal>
          <c:yVal>
            <c:numRef>
              <c:f>'SS Rod Radial Profile_20'!$R$31:$AD$31</c:f>
              <c:numCache>
                <c:formatCode>General</c:formatCode>
                <c:ptCount val="13"/>
                <c:pt idx="0">
                  <c:v>59.6123745681604</c:v>
                </c:pt>
                <c:pt idx="1">
                  <c:v>54.9419180279975</c:v>
                </c:pt>
                <c:pt idx="2">
                  <c:v>49.9600977184901</c:v>
                </c:pt>
                <c:pt idx="3">
                  <c:v>44.6669136396378</c:v>
                </c:pt>
                <c:pt idx="4">
                  <c:v>39.0623657914423</c:v>
                </c:pt>
                <c:pt idx="5">
                  <c:v>33.1857630817195</c:v>
                </c:pt>
                <c:pt idx="6">
                  <c:v>5.81405867843346</c:v>
                </c:pt>
                <c:pt idx="7">
                  <c:v>0</c:v>
                </c:pt>
                <c:pt idx="8">
                  <c:v>-3.96372848086904</c:v>
                </c:pt>
                <c:pt idx="9">
                  <c:v/>
                </c:pt>
                <c:pt idx="10">
                  <c:v/>
                </c:pt>
                <c:pt idx="11">
                  <c:v>-0.90279425460183</c:v>
                </c:pt>
                <c:pt idx="12">
                  <c:v>-0.916146460413898</c:v>
                </c:pt>
              </c:numCache>
            </c:numRef>
          </c:yVal>
        </c:ser>
        <c:ser>
          <c:idx val="1"/>
          <c:order val="1"/>
          <c:tx>
            <c:strRef>
              <c:f>'SS Rod Radial Profile_20'!$AB$32:$AB$32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'SS Rod Radial Profile_20'!$C$30:$M$30</c:f>
              <c:numCache>
                <c:formatCode>General</c:formatCode>
                <c:ptCount val="11"/>
                <c:pt idx="0">
                  <c:v>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0.0951050749101949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</c:numCache>
            </c:numRef>
          </c:xVal>
          <c:yVal>
            <c:numRef>
              <c:f>'SS Rod Radial Profile_20'!$R$32:$AD$32</c:f>
              <c:numCache>
                <c:formatCode>General</c:formatCode>
                <c:ptCount val="13"/>
                <c:pt idx="0">
                  <c:v>59.2575166666666</c:v>
                </c:pt>
                <c:pt idx="1">
                  <c:v>54.6150416666666</c:v>
                </c:pt>
                <c:pt idx="2">
                  <c:v>49.6605061111111</c:v>
                </c:pt>
                <c:pt idx="3">
                  <c:v>44.3939522222222</c:v>
                </c:pt>
                <c:pt idx="4">
                  <c:v>38.8154061111111</c:v>
                </c:pt>
                <c:pt idx="5">
                  <c:v>32.9277961111111</c:v>
                </c:pt>
                <c:pt idx="6">
                  <c:v>5.59249222222219</c:v>
                </c:pt>
                <c:pt idx="7">
                  <c:v>0</c:v>
                </c:pt>
                <c:pt idx="8">
                  <c:v>-4.41120801905893</c:v>
                </c:pt>
                <c:pt idx="9">
                  <c:v/>
                </c:pt>
                <c:pt idx="10">
                  <c:v/>
                </c:pt>
                <c:pt idx="11">
                  <c:v>-0.748653884231445</c:v>
                </c:pt>
                <c:pt idx="12">
                  <c:v>-0.76220590485832</c:v>
                </c:pt>
              </c:numCache>
            </c:numRef>
          </c:yVal>
        </c:ser>
        <c:axId val="14468002"/>
        <c:axId val="19509744"/>
      </c:scatterChart>
      <c:valAx>
        <c:axId val="144680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509744"/>
        <c:crossesAt val="0"/>
      </c:valAx>
      <c:valAx>
        <c:axId val="19509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4680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Fuel_Centerline_Temperature!$K$8:$K$8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Fuel_Centerline_Temperature!$K$9:$K$11</c:f>
              <c:numCache>
                <c:formatCode>General</c:formatCode>
                <c:ptCount val="3"/>
                <c:pt idx="0">
                  <c:v>0.0445657570384808</c:v>
                </c:pt>
                <c:pt idx="1">
                  <c:v>0.0206638628818788</c:v>
                </c:pt>
                <c:pt idx="2">
                  <c:v>0.00977225501829393</c:v>
                </c:pt>
              </c:numCache>
            </c:numRef>
          </c:yVal>
        </c:ser>
        <c:ser>
          <c:idx val="1"/>
          <c:order val="1"/>
          <c:tx>
            <c:strRef>
              <c:f>Fuel_Centerline_Temperature!$L$8:$L$8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Fuel_Centerline_Temperature!$L$9:$L$11</c:f>
              <c:numCache>
                <c:formatCode>General</c:formatCode>
                <c:ptCount val="3"/>
                <c:pt idx="0">
                  <c:v>0.0425961133019778</c:v>
                </c:pt>
                <c:pt idx="1">
                  <c:v>0.0189159781339794</c:v>
                </c:pt>
                <c:pt idx="2">
                  <c:v>0.0100747704484626</c:v>
                </c:pt>
              </c:numCache>
            </c:numRef>
          </c:yVal>
        </c:ser>
        <c:ser>
          <c:idx val="2"/>
          <c:order val="2"/>
          <c:tx>
            <c:strRef>
              <c:f>Fuel_Centerline_Temperature!$M$8:$M$8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Fuel_Centerline_Temperature!$M$9:$M$11</c:f>
              <c:numCache>
                <c:formatCode>General</c:formatCode>
                <c:ptCount val="3"/>
                <c:pt idx="0">
                  <c:v>0.044896347895476</c:v>
                </c:pt>
                <c:pt idx="1">
                  <c:v>0.0209739293710846</c:v>
                </c:pt>
                <c:pt idx="2">
                  <c:v>0.0100747704484626</c:v>
                </c:pt>
              </c:numCache>
            </c:numRef>
          </c:yVal>
        </c:ser>
        <c:axId val="17871508"/>
        <c:axId val="15448843"/>
      </c:scatterChart>
      <c:valAx>
        <c:axId val="178715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448843"/>
        <c:crosses val="autoZero"/>
      </c:valAx>
      <c:valAx>
        <c:axId val="15448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8715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3.xml"/><Relationship Id="rId2" Type="http://schemas.openxmlformats.org/officeDocument/2006/relationships/chart" Target="../charts/chart914.xml"/><Relationship Id="rId3" Type="http://schemas.openxmlformats.org/officeDocument/2006/relationships/chart" Target="../charts/chart915.xml"/><Relationship Id="rId4" Type="http://schemas.openxmlformats.org/officeDocument/2006/relationships/chart" Target="../charts/chart916.xml"/><Relationship Id="rId5" Type="http://schemas.openxmlformats.org/officeDocument/2006/relationships/chart" Target="../charts/chart9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18.xml"/><Relationship Id="rId2" Type="http://schemas.openxmlformats.org/officeDocument/2006/relationships/chart" Target="../charts/chart919.xml"/><Relationship Id="rId3" Type="http://schemas.openxmlformats.org/officeDocument/2006/relationships/chart" Target="../charts/chart920.xml"/><Relationship Id="rId4" Type="http://schemas.openxmlformats.org/officeDocument/2006/relationships/chart" Target="../charts/chart921.xml"/><Relationship Id="rId5" Type="http://schemas.openxmlformats.org/officeDocument/2006/relationships/chart" Target="../charts/chart9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23.xml"/><Relationship Id="rId2" Type="http://schemas.openxmlformats.org/officeDocument/2006/relationships/chart" Target="../charts/chart924.xml"/><Relationship Id="rId3" Type="http://schemas.openxmlformats.org/officeDocument/2006/relationships/chart" Target="../charts/chart925.xml"/><Relationship Id="rId4" Type="http://schemas.openxmlformats.org/officeDocument/2006/relationships/chart" Target="../charts/chart926.xml"/><Relationship Id="rId5" Type="http://schemas.openxmlformats.org/officeDocument/2006/relationships/chart" Target="../charts/chart9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>
      <xdr:nvGraphicFramePr>
        <xdr:cNvPr id="0" name=""/>
        <xdr:cNvGraphicFramePr/>
      </xdr:nvGraphicFramePr>
      <xdr:xfrm>
        <a:off x="724680" y="8225640"/>
        <a:ext cx="521280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>
      <xdr:nvGraphicFramePr>
        <xdr:cNvPr id="1" name=""/>
        <xdr:cNvGraphicFramePr/>
      </xdr:nvGraphicFramePr>
      <xdr:xfrm>
        <a:off x="5936760" y="466200"/>
        <a:ext cx="55285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699480</xdr:colOff>
      <xdr:row>64</xdr:row>
      <xdr:rowOff>141120</xdr:rowOff>
    </xdr:to>
    <xdr:graphicFrame>
      <xdr:nvGraphicFramePr>
        <xdr:cNvPr id="2" name=""/>
        <xdr:cNvGraphicFramePr/>
      </xdr:nvGraphicFramePr>
      <xdr:xfrm>
        <a:off x="7156440" y="7759440"/>
        <a:ext cx="4878720" cy="27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7</xdr:col>
      <xdr:colOff>226440</xdr:colOff>
      <xdr:row>96</xdr:row>
      <xdr:rowOff>11160</xdr:rowOff>
    </xdr:to>
    <xdr:graphicFrame>
      <xdr:nvGraphicFramePr>
        <xdr:cNvPr id="3" name=""/>
        <xdr:cNvGraphicFramePr/>
      </xdr:nvGraphicFramePr>
      <xdr:xfrm>
        <a:off x="263880" y="11693520"/>
        <a:ext cx="6421680" cy="39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>
      <xdr:nvGraphicFramePr>
        <xdr:cNvPr id="4" name=""/>
        <xdr:cNvGraphicFramePr/>
      </xdr:nvGraphicFramePr>
      <xdr:xfrm>
        <a:off x="7156800" y="10815840"/>
        <a:ext cx="55285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>
      <xdr:nvGraphicFramePr>
        <xdr:cNvPr id="5" name=""/>
        <xdr:cNvGraphicFramePr/>
      </xdr:nvGraphicFramePr>
      <xdr:xfrm>
        <a:off x="724680" y="8225640"/>
        <a:ext cx="521280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>
      <xdr:nvGraphicFramePr>
        <xdr:cNvPr id="6" name=""/>
        <xdr:cNvGraphicFramePr/>
      </xdr:nvGraphicFramePr>
      <xdr:xfrm>
        <a:off x="5936760" y="466200"/>
        <a:ext cx="55285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699480</xdr:colOff>
      <xdr:row>64</xdr:row>
      <xdr:rowOff>141120</xdr:rowOff>
    </xdr:to>
    <xdr:graphicFrame>
      <xdr:nvGraphicFramePr>
        <xdr:cNvPr id="7" name=""/>
        <xdr:cNvGraphicFramePr/>
      </xdr:nvGraphicFramePr>
      <xdr:xfrm>
        <a:off x="7156440" y="7759440"/>
        <a:ext cx="4878720" cy="27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7</xdr:col>
      <xdr:colOff>226440</xdr:colOff>
      <xdr:row>96</xdr:row>
      <xdr:rowOff>11160</xdr:rowOff>
    </xdr:to>
    <xdr:graphicFrame>
      <xdr:nvGraphicFramePr>
        <xdr:cNvPr id="8" name=""/>
        <xdr:cNvGraphicFramePr/>
      </xdr:nvGraphicFramePr>
      <xdr:xfrm>
        <a:off x="263880" y="11693520"/>
        <a:ext cx="6421680" cy="39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>
      <xdr:nvGraphicFramePr>
        <xdr:cNvPr id="9" name=""/>
        <xdr:cNvGraphicFramePr/>
      </xdr:nvGraphicFramePr>
      <xdr:xfrm>
        <a:off x="7156800" y="10815840"/>
        <a:ext cx="55285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>
      <xdr:nvGraphicFramePr>
        <xdr:cNvPr id="10" name=""/>
        <xdr:cNvGraphicFramePr/>
      </xdr:nvGraphicFramePr>
      <xdr:xfrm>
        <a:off x="724680" y="8225640"/>
        <a:ext cx="521280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>
      <xdr:nvGraphicFramePr>
        <xdr:cNvPr id="11" name=""/>
        <xdr:cNvGraphicFramePr/>
      </xdr:nvGraphicFramePr>
      <xdr:xfrm>
        <a:off x="5936760" y="466200"/>
        <a:ext cx="55285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699480</xdr:colOff>
      <xdr:row>64</xdr:row>
      <xdr:rowOff>141120</xdr:rowOff>
    </xdr:to>
    <xdr:graphicFrame>
      <xdr:nvGraphicFramePr>
        <xdr:cNvPr id="12" name=""/>
        <xdr:cNvGraphicFramePr/>
      </xdr:nvGraphicFramePr>
      <xdr:xfrm>
        <a:off x="7156440" y="7759440"/>
        <a:ext cx="4878720" cy="27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7</xdr:col>
      <xdr:colOff>226440</xdr:colOff>
      <xdr:row>96</xdr:row>
      <xdr:rowOff>11160</xdr:rowOff>
    </xdr:to>
    <xdr:graphicFrame>
      <xdr:nvGraphicFramePr>
        <xdr:cNvPr id="13" name=""/>
        <xdr:cNvGraphicFramePr/>
      </xdr:nvGraphicFramePr>
      <xdr:xfrm>
        <a:off x="263880" y="11693520"/>
        <a:ext cx="6421680" cy="39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>
      <xdr:nvGraphicFramePr>
        <xdr:cNvPr id="14" name=""/>
        <xdr:cNvGraphicFramePr/>
      </xdr:nvGraphicFramePr>
      <xdr:xfrm>
        <a:off x="7156800" y="10815840"/>
        <a:ext cx="55285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53640</xdr:colOff>
      <xdr:row>1</xdr:row>
      <xdr:rowOff>133200</xdr:rowOff>
    </xdr:from>
    <xdr:to>
      <xdr:col>29</xdr:col>
      <xdr:colOff>123840</xdr:colOff>
      <xdr:row>21</xdr:row>
      <xdr:rowOff>121680</xdr:rowOff>
    </xdr:to>
    <xdr:graphicFrame>
      <xdr:nvGraphicFramePr>
        <xdr:cNvPr id="15" name=""/>
        <xdr:cNvGraphicFramePr/>
      </xdr:nvGraphicFramePr>
      <xdr:xfrm>
        <a:off x="19809720" y="29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9" activeCellId="0" sqref="H29"/>
    </sheetView>
  </sheetViews>
  <sheetFormatPr defaultRowHeight="12.8"/>
  <cols>
    <col collapsed="false" hidden="false" max="2" min="1" style="0" width="11.5204081632653"/>
    <col collapsed="false" hidden="false" max="3" min="3" style="1" width="15.219387755102"/>
    <col collapsed="false" hidden="false" max="4" min="4" style="1" width="14.6581632653061"/>
    <col collapsed="false" hidden="false" max="5" min="5" style="1" width="11.5204081632653"/>
    <col collapsed="false" hidden="false" max="6" min="6" style="0" width="11.5204081632653"/>
    <col collapsed="false" hidden="false" max="7" min="7" style="0" width="18.4591836734694"/>
    <col collapsed="false" hidden="false" max="1025" min="8" style="0" width="11.5204081632653"/>
  </cols>
  <sheetData>
    <row r="1" customFormat="false" ht="12.8" hidden="false" customHeight="false" outlineLevel="0" collapsed="false">
      <c r="G1" s="2"/>
    </row>
    <row r="2" customFormat="false" ht="12.8" hidden="false" customHeight="false" outlineLevel="0" collapsed="false">
      <c r="G2" s="2"/>
    </row>
    <row r="3" customFormat="false" ht="12.8" hidden="false" customHeight="false" outlineLevel="0" collapsed="false">
      <c r="C3" s="3" t="s">
        <v>0</v>
      </c>
      <c r="G3" s="4" t="s">
        <v>1</v>
      </c>
      <c r="L3" s="4" t="s">
        <v>2</v>
      </c>
    </row>
    <row r="4" customFormat="false" ht="12.8" hidden="false" customHeight="false" outlineLevel="0" collapsed="false">
      <c r="C4" s="1" t="s">
        <v>3</v>
      </c>
      <c r="D4" s="1" t="n">
        <v>10</v>
      </c>
      <c r="G4" s="0" t="s">
        <v>4</v>
      </c>
      <c r="H4" s="5" t="n">
        <v>5.377069796</v>
      </c>
      <c r="I4" s="0" t="s">
        <v>5</v>
      </c>
      <c r="L4" s="1" t="s">
        <v>6</v>
      </c>
      <c r="M4" s="1" t="s">
        <v>7</v>
      </c>
      <c r="N4" s="1" t="s">
        <v>8</v>
      </c>
    </row>
    <row r="5" customFormat="false" ht="12.8" hidden="false" customHeight="false" outlineLevel="0" collapsed="false">
      <c r="C5" s="1" t="s">
        <v>9</v>
      </c>
      <c r="D5" s="1" t="n">
        <v>20</v>
      </c>
      <c r="G5" s="0" t="s">
        <v>10</v>
      </c>
      <c r="H5" s="5" t="n">
        <v>14.83</v>
      </c>
      <c r="I5" s="0" t="s">
        <v>5</v>
      </c>
      <c r="L5" s="1" t="s">
        <v>11</v>
      </c>
      <c r="M5" s="1" t="s">
        <v>12</v>
      </c>
      <c r="N5" s="1" t="n">
        <v>1.05435</v>
      </c>
    </row>
    <row r="6" customFormat="false" ht="12.8" hidden="false" customHeight="false" outlineLevel="0" collapsed="false">
      <c r="C6" s="1" t="s">
        <v>13</v>
      </c>
      <c r="D6" s="1" t="n">
        <v>3.658</v>
      </c>
      <c r="E6" s="1" t="s">
        <v>14</v>
      </c>
      <c r="G6" s="0" t="s">
        <v>15</v>
      </c>
      <c r="H6" s="6" t="n">
        <v>10970.40457</v>
      </c>
      <c r="I6" s="0" t="s">
        <v>16</v>
      </c>
      <c r="L6" s="1" t="s">
        <v>17</v>
      </c>
      <c r="M6" s="1" t="s">
        <v>14</v>
      </c>
      <c r="N6" s="1" t="n">
        <v>0.304801</v>
      </c>
    </row>
    <row r="7" customFormat="false" ht="12.8" hidden="false" customHeight="false" outlineLevel="0" collapsed="false">
      <c r="C7" s="1" t="s">
        <v>18</v>
      </c>
      <c r="D7" s="1" t="n">
        <f aca="false">Problem_Setup!D6/Problem_Setup!D5</f>
        <v>0.1829</v>
      </c>
      <c r="E7" s="1" t="s">
        <v>14</v>
      </c>
      <c r="G7" s="0" t="s">
        <v>19</v>
      </c>
      <c r="H7" s="1" t="n">
        <v>8470.57</v>
      </c>
      <c r="I7" s="0" t="s">
        <v>16</v>
      </c>
      <c r="L7" s="1" t="s">
        <v>20</v>
      </c>
      <c r="M7" s="1" t="s">
        <v>21</v>
      </c>
      <c r="N7" s="1" t="n">
        <f aca="false">5/9</f>
        <v>0.555555555555556</v>
      </c>
    </row>
    <row r="8" customFormat="false" ht="12.8" hidden="false" customHeight="false" outlineLevel="0" collapsed="false">
      <c r="C8" s="1" t="s">
        <v>22</v>
      </c>
      <c r="D8" s="1" t="n">
        <f aca="false">0.45</f>
        <v>0.45</v>
      </c>
      <c r="E8" s="1" t="s">
        <v>23</v>
      </c>
      <c r="G8" s="0" t="s">
        <v>24</v>
      </c>
      <c r="H8" s="7" t="n">
        <v>0.288947796</v>
      </c>
      <c r="I8" s="0" t="s">
        <v>25</v>
      </c>
      <c r="L8" s="0" t="s">
        <v>26</v>
      </c>
      <c r="M8" s="0" t="s">
        <v>27</v>
      </c>
      <c r="N8" s="0" t="n">
        <f aca="false">1000*t_btu_kw/(t_R_K*t_ft_m^2)/3600</f>
        <v>5.67442724009333</v>
      </c>
    </row>
    <row r="9" customFormat="false" ht="12.8" hidden="false" customHeight="false" outlineLevel="0" collapsed="false">
      <c r="C9" s="1" t="s">
        <v>28</v>
      </c>
      <c r="D9" s="1" t="n">
        <f aca="false">0.8192/2</f>
        <v>0.4096</v>
      </c>
      <c r="E9" s="1" t="s">
        <v>23</v>
      </c>
      <c r="G9" s="0" t="s">
        <v>29</v>
      </c>
      <c r="H9" s="7" t="n">
        <v>0.431</v>
      </c>
      <c r="I9" s="0" t="s">
        <v>25</v>
      </c>
    </row>
    <row r="10" customFormat="false" ht="12.8" hidden="false" customHeight="false" outlineLevel="0" collapsed="false">
      <c r="C10" s="1" t="s">
        <v>30</v>
      </c>
      <c r="D10" s="8" t="n">
        <f aca="false">0.057</f>
        <v>0.057</v>
      </c>
      <c r="E10" s="1" t="s">
        <v>23</v>
      </c>
      <c r="G10" s="0" t="s">
        <v>31</v>
      </c>
      <c r="H10" s="6" t="n">
        <v>5678.3</v>
      </c>
      <c r="I10" s="0" t="s">
        <v>27</v>
      </c>
      <c r="L10" s="9"/>
    </row>
    <row r="11" customFormat="false" ht="12.8" hidden="false" customHeight="false" outlineLevel="0" collapsed="false">
      <c r="C11" s="1" t="s">
        <v>32</v>
      </c>
      <c r="D11" s="1" t="n">
        <f aca="false">D10-(D8-D9)</f>
        <v>0.0166</v>
      </c>
      <c r="E11" s="1" t="s">
        <v>14</v>
      </c>
    </row>
    <row r="12" customFormat="false" ht="12.8" hidden="false" customHeight="false" outlineLevel="0" collapsed="false">
      <c r="C12" s="1" t="s">
        <v>33</v>
      </c>
      <c r="D12" s="1" t="n">
        <v>1.26</v>
      </c>
      <c r="E12" s="1" t="s">
        <v>23</v>
      </c>
    </row>
    <row r="13" customFormat="false" ht="12.8" hidden="false" customHeight="false" outlineLevel="0" collapsed="false">
      <c r="C13" s="1" t="s">
        <v>34</v>
      </c>
      <c r="D13" s="10" t="n">
        <f aca="false">(2*PI()*'SS Rod Radial Profile_10'!O30/100*Problem_Setup!D7)</f>
        <v>0.0054586922242814</v>
      </c>
      <c r="E13" s="1" t="s">
        <v>35</v>
      </c>
      <c r="I13" s="6"/>
    </row>
    <row r="14" customFormat="false" ht="12.8" hidden="false" customHeight="false" outlineLevel="0" collapsed="false">
      <c r="C14" s="1" t="s">
        <v>36</v>
      </c>
      <c r="D14" s="11" t="n">
        <f aca="false">(D12^2-(PI()*D8^2))*10^-4</f>
        <v>9.51427487648067E-005</v>
      </c>
      <c r="E14" s="1" t="s">
        <v>35</v>
      </c>
    </row>
    <row r="15" customFormat="false" ht="12.8" hidden="false" customHeight="false" outlineLevel="0" collapsed="false">
      <c r="C15" s="1" t="s">
        <v>37</v>
      </c>
      <c r="D15" s="11" t="n">
        <f aca="false">2*PI()*D8/100</f>
        <v>0.0282743338823081</v>
      </c>
      <c r="E15" s="1" t="s">
        <v>14</v>
      </c>
      <c r="G15" s="4" t="s">
        <v>38</v>
      </c>
      <c r="M15" s="9"/>
    </row>
    <row r="16" customFormat="false" ht="12.8" hidden="false" customHeight="false" outlineLevel="0" collapsed="false">
      <c r="C16" s="1" t="s">
        <v>39</v>
      </c>
      <c r="E16" s="1" t="s">
        <v>40</v>
      </c>
      <c r="G16" s="0" t="s">
        <v>41</v>
      </c>
      <c r="H16" s="8" t="n">
        <v>0.311103548387097</v>
      </c>
      <c r="I16" s="0" t="s">
        <v>42</v>
      </c>
    </row>
    <row r="17" customFormat="false" ht="12.8" hidden="false" customHeight="false" outlineLevel="0" collapsed="false">
      <c r="C17" s="1" t="s">
        <v>43</v>
      </c>
      <c r="D17" s="1" t="n">
        <f aca="false">A_surf*L_chan</f>
        <v>0.0199678961564214</v>
      </c>
      <c r="E17" s="1" t="s">
        <v>44</v>
      </c>
      <c r="G17" s="0" t="s">
        <v>45</v>
      </c>
      <c r="H17" s="8" t="n">
        <v>0.038641217872043</v>
      </c>
      <c r="I17" s="0" t="s">
        <v>46</v>
      </c>
    </row>
    <row r="18" customFormat="false" ht="12.8" hidden="false" customHeight="false" outlineLevel="0" collapsed="false">
      <c r="C18" s="1" t="s">
        <v>47</v>
      </c>
      <c r="D18" s="1" t="n">
        <f aca="false">vol_fuel*Rho_fuel</f>
        <v>219.05589924769</v>
      </c>
      <c r="E18" s="1" t="s">
        <v>48</v>
      </c>
      <c r="G18" s="0" t="s">
        <v>49</v>
      </c>
      <c r="H18" s="8" t="n">
        <f aca="false">Problem_Setup!D6/(2*'SS Rod Radial Profile_10'!O30/100)</f>
        <v>385.051368287058</v>
      </c>
      <c r="J18" s="0" t="s">
        <v>50</v>
      </c>
    </row>
    <row r="19" customFormat="false" ht="12.8" hidden="false" customHeight="false" outlineLevel="0" collapsed="false">
      <c r="G19" s="0" t="s">
        <v>51</v>
      </c>
      <c r="H19" s="8" t="n">
        <v>738.529978402469</v>
      </c>
    </row>
    <row r="20" customFormat="false" ht="12.8" hidden="false" customHeight="false" outlineLevel="0" collapsed="false">
      <c r="G20" s="0" t="s">
        <v>52</v>
      </c>
      <c r="H20" s="12" t="n">
        <v>449606.212166619</v>
      </c>
      <c r="J20" s="0" t="s">
        <v>53</v>
      </c>
    </row>
    <row r="21" customFormat="false" ht="12.8" hidden="false" customHeight="false" outlineLevel="0" collapsed="false">
      <c r="G21" s="0" t="s">
        <v>54</v>
      </c>
      <c r="H21" s="8" t="n">
        <v>0.913978807329116</v>
      </c>
      <c r="J21" s="0" t="s">
        <v>55</v>
      </c>
    </row>
    <row r="22" customFormat="false" ht="12.8" hidden="false" customHeight="false" outlineLevel="0" collapsed="false">
      <c r="C22" s="3" t="s">
        <v>56</v>
      </c>
      <c r="G22" s="0" t="s">
        <v>57</v>
      </c>
      <c r="H22" s="8" t="n">
        <v>1.65522355798267</v>
      </c>
      <c r="I22" s="0" t="s">
        <v>58</v>
      </c>
    </row>
    <row r="23" customFormat="false" ht="12.8" hidden="false" customHeight="false" outlineLevel="0" collapsed="false">
      <c r="C23" s="1" t="s">
        <v>59</v>
      </c>
      <c r="D23" s="1" t="n">
        <v>4</v>
      </c>
      <c r="E23" s="1" t="s">
        <v>60</v>
      </c>
      <c r="G23" s="0" t="s">
        <v>57</v>
      </c>
      <c r="H23" s="12" t="n">
        <f aca="false">Problem_Setup!H22*3600*t_htc</f>
        <v>33812.8043250998</v>
      </c>
      <c r="I23" s="0" t="s">
        <v>27</v>
      </c>
    </row>
    <row r="24" customFormat="false" ht="12.8" hidden="false" customHeight="false" outlineLevel="0" collapsed="false">
      <c r="C24" s="1" t="s">
        <v>61</v>
      </c>
      <c r="D24" s="7" t="n">
        <f aca="false">Problem_Setup!D23*Problem_Setup!D6</f>
        <v>14.632</v>
      </c>
      <c r="E24" s="1" t="s">
        <v>62</v>
      </c>
      <c r="G24" s="0" t="s">
        <v>63</v>
      </c>
      <c r="H24" s="8" t="n">
        <f aca="false">Problem_Setup!D24*1000/(Problem_Setup!H23*A_surf*Problem_Setup!D5)</f>
        <v>3.96372848086904</v>
      </c>
      <c r="I24" s="0" t="s">
        <v>21</v>
      </c>
    </row>
    <row r="25" customFormat="false" ht="12.8" hidden="false" customHeight="false" outlineLevel="0" collapsed="false">
      <c r="C25" s="1" t="s">
        <v>64</v>
      </c>
      <c r="D25" s="1" t="n">
        <f aca="false">Problem_Setup!D23/(PI()*((Problem_Setup!D9/100)^2))</f>
        <v>75890.9907779195</v>
      </c>
      <c r="E25" s="1" t="s">
        <v>65</v>
      </c>
    </row>
    <row r="26" customFormat="false" ht="12.8" hidden="false" customHeight="false" outlineLevel="0" collapsed="false">
      <c r="C26" s="1" t="s">
        <v>66</v>
      </c>
      <c r="D26" s="1" t="n">
        <f aca="false">Problem_Setup!D24/A_surf</f>
        <v>2680.495510429</v>
      </c>
      <c r="E26" s="1" t="s">
        <v>67</v>
      </c>
    </row>
    <row r="27" customFormat="false" ht="12.8" hidden="false" customHeight="false" outlineLevel="0" collapsed="false">
      <c r="G27" s="4" t="s">
        <v>68</v>
      </c>
    </row>
    <row r="28" customFormat="false" ht="12.8" hidden="false" customHeight="false" outlineLevel="0" collapsed="false">
      <c r="G28" s="0" t="s">
        <v>69</v>
      </c>
      <c r="H28" s="0" t="n">
        <f aca="false">1/(hgap*2*PI()*R_fuel/100*dz)</f>
        <v>0.0374134833287124</v>
      </c>
      <c r="I28" s="0" t="s">
        <v>70</v>
      </c>
    </row>
    <row r="29" customFormat="false" ht="12.8" hidden="false" customHeight="false" outlineLevel="0" collapsed="false">
      <c r="C29" s="3" t="s">
        <v>71</v>
      </c>
      <c r="G29" s="0" t="s">
        <v>72</v>
      </c>
      <c r="H29" s="0" t="n">
        <f aca="false">LN(R_rod/(R_rod-D10))/(2*PI()*dz*k_clad)</f>
        <v>0.00794704576057062</v>
      </c>
      <c r="I29" s="0" t="s">
        <v>70</v>
      </c>
    </row>
    <row r="30" customFormat="false" ht="12.8" hidden="false" customHeight="false" outlineLevel="0" collapsed="false">
      <c r="C30" s="1" t="s">
        <v>73</v>
      </c>
      <c r="D30" s="1" t="n">
        <v>0.3</v>
      </c>
      <c r="E30" s="1" t="s">
        <v>74</v>
      </c>
      <c r="G30" s="0" t="s">
        <v>75</v>
      </c>
      <c r="H30" s="0" t="n">
        <f aca="false">1/(A_surf*H23)</f>
        <v>0.00541789021441914</v>
      </c>
      <c r="I30" s="0" t="s">
        <v>70</v>
      </c>
    </row>
    <row r="31" customFormat="false" ht="12.8" hidden="false" customHeight="false" outlineLevel="0" collapsed="false">
      <c r="C31" s="1" t="s">
        <v>76</v>
      </c>
      <c r="D31" s="1" t="n">
        <v>16.5</v>
      </c>
      <c r="E31" s="1" t="s">
        <v>77</v>
      </c>
    </row>
    <row r="32" customFormat="false" ht="12.8" hidden="false" customHeight="false" outlineLevel="0" collapsed="false">
      <c r="C32" s="1" t="s">
        <v>78</v>
      </c>
      <c r="D32" s="1" t="n">
        <v>290</v>
      </c>
      <c r="E32" s="1" t="s">
        <v>79</v>
      </c>
      <c r="G32" s="4" t="s">
        <v>80</v>
      </c>
    </row>
    <row r="33" customFormat="false" ht="12.8" hidden="false" customHeight="false" outlineLevel="0" collapsed="false">
      <c r="C33" s="1" t="s">
        <v>81</v>
      </c>
      <c r="D33" s="1" t="n">
        <v>1283.8</v>
      </c>
      <c r="E33" s="1" t="s">
        <v>82</v>
      </c>
      <c r="G33" s="0" t="s">
        <v>83</v>
      </c>
      <c r="H33" s="0" t="n">
        <f aca="false">q_lin*dz*1000*H28</f>
        <v>27.371704403286</v>
      </c>
      <c r="I33" s="0" t="s">
        <v>21</v>
      </c>
    </row>
    <row r="34" customFormat="false" ht="12.8" hidden="false" customHeight="false" outlineLevel="0" collapsed="false">
      <c r="C34" s="1" t="s">
        <v>84</v>
      </c>
      <c r="D34" s="1" t="n">
        <v>5.2189</v>
      </c>
      <c r="E34" s="1" t="s">
        <v>85</v>
      </c>
      <c r="G34" s="0" t="s">
        <v>86</v>
      </c>
      <c r="H34" s="0" t="n">
        <f aca="false">q_lin*dz*1000*H29</f>
        <v>5.81405867843346</v>
      </c>
      <c r="I34" s="0" t="s">
        <v>21</v>
      </c>
    </row>
    <row r="35" customFormat="false" ht="12.8" hidden="false" customHeight="false" outlineLevel="0" collapsed="false">
      <c r="C35" s="1" t="s">
        <v>87</v>
      </c>
      <c r="D35" s="1" t="n">
        <v>0.58213</v>
      </c>
      <c r="E35" s="1" t="s">
        <v>88</v>
      </c>
      <c r="G35" s="0" t="s">
        <v>89</v>
      </c>
      <c r="H35" s="0" t="n">
        <f aca="false">q_lin*dz*1000*H30</f>
        <v>3.96372848086904</v>
      </c>
      <c r="I35" s="0" t="s">
        <v>21</v>
      </c>
    </row>
    <row r="36" customFormat="false" ht="12.8" hidden="false" customHeight="false" outlineLevel="0" collapsed="false">
      <c r="C36" s="1" t="s">
        <v>90</v>
      </c>
      <c r="D36" s="12" t="n">
        <v>9.2745E-005</v>
      </c>
      <c r="E36" s="1" t="s">
        <v>91</v>
      </c>
    </row>
    <row r="37" customFormat="false" ht="12.8" hidden="false" customHeight="false" outlineLevel="0" collapsed="false">
      <c r="A37" s="1" t="s">
        <v>92</v>
      </c>
      <c r="B37" s="1" t="n">
        <f aca="false">(D34+D38)/2</f>
        <v>5.32135</v>
      </c>
      <c r="C37" s="1" t="s">
        <v>93</v>
      </c>
      <c r="D37" s="1" t="n">
        <f aca="false">D32+D24/(B37*M_dot)</f>
        <v>299.165593943893</v>
      </c>
      <c r="E37" s="1" t="s">
        <v>79</v>
      </c>
    </row>
    <row r="38" customFormat="false" ht="12.8" hidden="false" customHeight="false" outlineLevel="0" collapsed="false">
      <c r="A38" s="1" t="s">
        <v>85</v>
      </c>
      <c r="C38" s="1" t="s">
        <v>94</v>
      </c>
      <c r="D38" s="1" t="n">
        <v>5.4238</v>
      </c>
      <c r="E38" s="1" t="s">
        <v>85</v>
      </c>
    </row>
    <row r="39" customFormat="false" ht="12.8" hidden="false" customHeight="false" outlineLevel="0" collapsed="false">
      <c r="C39" s="1" t="s">
        <v>95</v>
      </c>
      <c r="D39" s="1" t="n">
        <v>0.58213</v>
      </c>
      <c r="E39" s="1" t="s">
        <v>88</v>
      </c>
    </row>
    <row r="40" customFormat="false" ht="12.8" hidden="false" customHeight="false" outlineLevel="0" collapsed="false">
      <c r="C40" s="1" t="s">
        <v>96</v>
      </c>
      <c r="E40" s="1" t="s">
        <v>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K35" activeCellId="0" sqref="K35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B1" s="13" t="s">
        <v>97</v>
      </c>
      <c r="C1" s="13"/>
      <c r="D1" s="13"/>
      <c r="E1" s="13"/>
    </row>
    <row r="2" customFormat="false" ht="12.8" hidden="false" customHeight="false" outlineLevel="0" collapsed="false">
      <c r="B2" s="13"/>
      <c r="C2" s="13"/>
      <c r="D2" s="13"/>
      <c r="E2" s="13"/>
    </row>
    <row r="4" customFormat="false" ht="12.8" hidden="false" customHeight="false" outlineLevel="0" collapsed="false">
      <c r="B4" s="0" t="s">
        <v>98</v>
      </c>
    </row>
    <row r="6" customFormat="false" ht="12.8" hidden="false" customHeight="false" outlineLevel="0" collapsed="false">
      <c r="B6" s="4" t="s">
        <v>99</v>
      </c>
    </row>
    <row r="7" customFormat="false" ht="12.8" hidden="false" customHeight="false" outlineLevel="0" collapsed="false">
      <c r="C7" s="0" t="s">
        <v>100</v>
      </c>
      <c r="D7" s="0" t="s">
        <v>101</v>
      </c>
      <c r="E7" s="0" t="s">
        <v>101</v>
      </c>
    </row>
    <row r="8" customFormat="false" ht="12.8" hidden="false" customHeight="false" outlineLevel="0" collapsed="false">
      <c r="C8" s="0" t="s">
        <v>102</v>
      </c>
      <c r="D8" s="0" t="s">
        <v>103</v>
      </c>
      <c r="E8" s="0" t="s">
        <v>82</v>
      </c>
    </row>
    <row r="9" customFormat="false" ht="12.8" hidden="false" customHeight="false" outlineLevel="0" collapsed="false">
      <c r="B9" s="1" t="s">
        <v>104</v>
      </c>
      <c r="C9" s="7" t="n">
        <v>0.661386</v>
      </c>
      <c r="D9" s="1" t="n">
        <v>554.232258064516</v>
      </c>
      <c r="E9" s="1" t="n">
        <f aca="false">2.326*D9</f>
        <v>1289.14423225806</v>
      </c>
    </row>
    <row r="10" customFormat="false" ht="12.8" hidden="false" customHeight="false" outlineLevel="0" collapsed="false">
      <c r="B10" s="1" t="s">
        <v>105</v>
      </c>
      <c r="C10" s="7" t="n">
        <v>0.661395386741239</v>
      </c>
      <c r="D10" s="1" t="n">
        <v>575.139866822724</v>
      </c>
      <c r="E10" s="1" t="n">
        <f aca="false">2.326*D10</f>
        <v>1337.77533022966</v>
      </c>
    </row>
    <row r="11" customFormat="false" ht="12.8" hidden="false" customHeight="false" outlineLevel="0" collapsed="false">
      <c r="B11" s="1" t="s">
        <v>106</v>
      </c>
      <c r="C11" s="1" t="n">
        <f aca="false">C10</f>
        <v>0.661395386741239</v>
      </c>
      <c r="D11" s="1" t="n">
        <v>574.870138449992</v>
      </c>
      <c r="E11" s="1" t="n">
        <f aca="false">2.326*D11</f>
        <v>1337.14794203468</v>
      </c>
    </row>
    <row r="12" customFormat="false" ht="12.8" hidden="false" customHeight="false" outlineLevel="0" collapsed="false">
      <c r="B12" s="1" t="s">
        <v>107</v>
      </c>
      <c r="C12" s="1" t="n">
        <f aca="false">C11</f>
        <v>0.661395386741239</v>
      </c>
      <c r="D12" s="1" t="n">
        <v>575.510495589131</v>
      </c>
      <c r="E12" s="1" t="n">
        <f aca="false">2.326*D12</f>
        <v>1338.63741274032</v>
      </c>
    </row>
    <row r="16" customFormat="false" ht="12.8" hidden="false" customHeight="false" outlineLevel="0" collapsed="false">
      <c r="B16" s="4" t="s">
        <v>108</v>
      </c>
    </row>
    <row r="17" customFormat="false" ht="12.8" hidden="false" customHeight="false" outlineLevel="0" collapsed="false">
      <c r="B17" s="1"/>
      <c r="C17" s="1" t="s">
        <v>109</v>
      </c>
      <c r="D17" s="1" t="s">
        <v>110</v>
      </c>
      <c r="E17" s="1" t="s">
        <v>111</v>
      </c>
    </row>
    <row r="18" customFormat="false" ht="12.8" hidden="false" customHeight="false" outlineLevel="0" collapsed="false">
      <c r="B18" s="1"/>
      <c r="C18" s="1" t="s">
        <v>82</v>
      </c>
      <c r="D18" s="1" t="s">
        <v>62</v>
      </c>
      <c r="E18" s="1" t="s">
        <v>60</v>
      </c>
    </row>
    <row r="19" customFormat="false" ht="12.8" hidden="false" customHeight="false" outlineLevel="0" collapsed="false">
      <c r="B19" s="1" t="s">
        <v>112</v>
      </c>
      <c r="C19" s="1" t="n">
        <f aca="false">q_lin*L_chan/(M_dot)</f>
        <v>48.7733333333333</v>
      </c>
      <c r="D19" s="14" t="n">
        <f aca="false">M_dot*C19</f>
        <v>14.632</v>
      </c>
      <c r="E19" s="5" t="n">
        <f aca="false">q_lin</f>
        <v>4</v>
      </c>
      <c r="F19" s="0" t="s">
        <v>113</v>
      </c>
    </row>
    <row r="20" customFormat="false" ht="12.8" hidden="false" customHeight="false" outlineLevel="0" collapsed="false">
      <c r="B20" s="1" t="s">
        <v>105</v>
      </c>
      <c r="C20" s="5" t="n">
        <f aca="false">E10-$E$9</f>
        <v>48.6310979715913</v>
      </c>
      <c r="D20" s="14" t="n">
        <f aca="false">M_dot*C20</f>
        <v>14.5893293914774</v>
      </c>
      <c r="E20" s="5" t="n">
        <f aca="false">D20/L_chan</f>
        <v>3.98833498946894</v>
      </c>
      <c r="F20" s="15" t="n">
        <f aca="false">(E20-$E$19)/$E$19</f>
        <v>-0.00291625263276396</v>
      </c>
    </row>
    <row r="21" customFormat="false" ht="12.8" hidden="false" customHeight="false" outlineLevel="0" collapsed="false">
      <c r="B21" s="1" t="s">
        <v>106</v>
      </c>
      <c r="C21" s="5" t="n">
        <f aca="false">E11-$E$9</f>
        <v>48.003709776616</v>
      </c>
      <c r="D21" s="14" t="n">
        <f aca="false">M_dot*C21</f>
        <v>14.4011129329848</v>
      </c>
      <c r="E21" s="5" t="n">
        <f aca="false">D21/L_chan</f>
        <v>3.93688161098546</v>
      </c>
      <c r="F21" s="15" t="n">
        <f aca="false">(E21-$E$19)/$E$19</f>
        <v>-0.0157795972536356</v>
      </c>
    </row>
    <row r="22" customFormat="false" ht="12.8" hidden="false" customHeight="false" outlineLevel="0" collapsed="false">
      <c r="B22" s="1" t="s">
        <v>107</v>
      </c>
      <c r="C22" s="5" t="n">
        <f aca="false">E12-$E$9</f>
        <v>49.4931804822545</v>
      </c>
      <c r="D22" s="14" t="n">
        <f aca="false">M_dot*C22</f>
        <v>14.8479541446764</v>
      </c>
      <c r="E22" s="5" t="n">
        <f aca="false">D22/L_chan</f>
        <v>4.05903612484318</v>
      </c>
      <c r="F22" s="15" t="n">
        <f aca="false">(E22-$E$19)/$E$19</f>
        <v>0.014759031210795</v>
      </c>
    </row>
    <row r="23" customFormat="false" ht="12.8" hidden="false" customHeight="false" outlineLevel="0" collapsed="false">
      <c r="C23" s="4" t="s">
        <v>99</v>
      </c>
    </row>
    <row r="24" customFormat="false" ht="12.8" hidden="false" customHeight="false" outlineLevel="0" collapsed="false">
      <c r="B24" s="0" t="s">
        <v>114</v>
      </c>
      <c r="D24" s="9" t="n">
        <f aca="false">D25</f>
        <v>0.00211162829960637</v>
      </c>
      <c r="E24" s="9" t="n">
        <f aca="false">E25</f>
        <v>0.00472174442113214</v>
      </c>
      <c r="F24" s="0" t="n">
        <f aca="false">F25-E25</f>
        <v>0.00289183968781947</v>
      </c>
      <c r="G24" s="0" t="n">
        <f aca="false">G25-F25</f>
        <v>0.00294455738908025</v>
      </c>
      <c r="H24" s="0" t="e">
        <f aca="false">H25-G25</f>
        <v>#REF!</v>
      </c>
      <c r="I24" s="0" t="n">
        <f aca="false">I25-H25</f>
        <v>0.000275590551181102</v>
      </c>
      <c r="J24" s="0" t="n">
        <f aca="false">J25-I25</f>
        <v>0.00187007874015748</v>
      </c>
      <c r="K24" s="1" t="s">
        <v>115</v>
      </c>
    </row>
    <row r="25" customFormat="false" ht="12.8" hidden="false" customHeight="false" outlineLevel="0" collapsed="false">
      <c r="B25" s="0" t="s">
        <v>116</v>
      </c>
      <c r="C25" s="9" t="n">
        <v>0</v>
      </c>
      <c r="D25" s="9" t="n">
        <v>0.00211162829960637</v>
      </c>
      <c r="E25" s="9" t="n">
        <v>0.00472174442113214</v>
      </c>
      <c r="F25" s="9" t="n">
        <v>0.00761358410895161</v>
      </c>
      <c r="G25" s="9" t="n">
        <v>0.0105581414980319</v>
      </c>
      <c r="H25" s="9" t="n">
        <v>0.0134383202099738</v>
      </c>
      <c r="I25" s="9" t="n">
        <v>0.0137139107611549</v>
      </c>
      <c r="J25" s="9" t="n">
        <v>0.0155839895013123</v>
      </c>
      <c r="K25" s="16" t="n">
        <f aca="false">(t_in+q_lin*dz*2/(M_dot*cp_in))*9/5+32</f>
        <v>555.682193565694</v>
      </c>
    </row>
    <row r="26" customFormat="false" ht="12.8" hidden="false" customHeight="false" outlineLevel="0" collapsed="false">
      <c r="A26" s="0" t="s">
        <v>117</v>
      </c>
      <c r="B26" s="1" t="s">
        <v>105</v>
      </c>
      <c r="C26" s="5" t="n">
        <f aca="false">1/3*(4*D26-E26)</f>
        <v>722.306567333333</v>
      </c>
      <c r="D26" s="17" t="n">
        <v>719.22506</v>
      </c>
      <c r="E26" s="5" t="n">
        <v>709.980538</v>
      </c>
      <c r="F26" s="5" t="n">
        <v>691.125854</v>
      </c>
      <c r="G26" s="5" t="n">
        <v>661.502762</v>
      </c>
      <c r="H26" s="5" t="n">
        <v>621.495554</v>
      </c>
      <c r="I26" s="5" t="n">
        <v>573.289563</v>
      </c>
      <c r="J26" s="5" t="n">
        <v>563.427273</v>
      </c>
      <c r="K26" s="9" t="n">
        <f aca="false">K25</f>
        <v>555.682193565694</v>
      </c>
    </row>
    <row r="27" customFormat="false" ht="12.8" hidden="false" customHeight="false" outlineLevel="0" collapsed="false">
      <c r="A27" s="0" t="s">
        <v>117</v>
      </c>
      <c r="B27" s="1" t="s">
        <v>106</v>
      </c>
      <c r="C27" s="5" t="n">
        <f aca="false">1/3*(4*D27-E27)</f>
        <v>722.653449666667</v>
      </c>
      <c r="D27" s="18" t="n">
        <v>719.564366</v>
      </c>
      <c r="E27" s="0" t="n">
        <v>710.297115</v>
      </c>
      <c r="F27" s="0" t="n">
        <v>691.398346</v>
      </c>
      <c r="G27" s="0" t="n">
        <v>661.712127</v>
      </c>
      <c r="H27" s="0" t="n">
        <v>621.630469</v>
      </c>
      <c r="I27" s="0" t="n">
        <v>573.328937</v>
      </c>
      <c r="J27" s="0" t="n">
        <v>563.446623</v>
      </c>
      <c r="K27" s="9" t="n">
        <f aca="false">K26</f>
        <v>555.682193565694</v>
      </c>
    </row>
    <row r="28" customFormat="false" ht="12.8" hidden="false" customHeight="false" outlineLevel="0" collapsed="false">
      <c r="A28" s="0" t="s">
        <v>117</v>
      </c>
      <c r="B28" s="1" t="s">
        <v>107</v>
      </c>
      <c r="C28" s="5" t="n">
        <f aca="false">1/3*(4*D28-E28)</f>
        <v>722.248354333333</v>
      </c>
      <c r="D28" s="18" t="n">
        <v>719.168119</v>
      </c>
      <c r="E28" s="0" t="n">
        <v>709.927413</v>
      </c>
      <c r="F28" s="9" t="n">
        <v>691.080128</v>
      </c>
      <c r="G28" s="9" t="n">
        <v>661.467631</v>
      </c>
      <c r="H28" s="9" t="n">
        <v>621.472919</v>
      </c>
      <c r="I28" s="9" t="n">
        <v>573.282963</v>
      </c>
      <c r="J28" s="9" t="n">
        <v>563.424034</v>
      </c>
      <c r="K28" s="9" t="n">
        <f aca="false">K27</f>
        <v>555.682193565694</v>
      </c>
      <c r="M28" s="9"/>
    </row>
    <row r="29" customFormat="false" ht="12.8" hidden="false" customHeight="false" outlineLevel="0" collapsed="false">
      <c r="C29" s="4" t="s">
        <v>118</v>
      </c>
      <c r="K29" s="0" t="e">
        <f aca="false">D24/D5*I29</f>
        <v>#DIV/0!</v>
      </c>
    </row>
    <row r="30" customFormat="false" ht="12.8" hidden="false" customHeight="false" outlineLevel="0" collapsed="false">
      <c r="B30" s="1" t="s">
        <v>119</v>
      </c>
      <c r="C30" s="5" t="n">
        <f aca="false">(C25)*t_ft_m*100</f>
        <v>0</v>
      </c>
      <c r="D30" s="5" t="n">
        <f aca="false">(D25)*t_ft_m*100</f>
        <v>0.0643626417348321</v>
      </c>
      <c r="E30" s="5" t="n">
        <f aca="false">(E25)*t_ft_m*100</f>
        <v>0.14391924213055</v>
      </c>
      <c r="F30" s="5" t="n">
        <f aca="false">(F25)*t_ft_m*100</f>
        <v>0.232062804999256</v>
      </c>
      <c r="G30" s="5" t="n">
        <f aca="false">(G25)*t_ft_m*100</f>
        <v>0.321813208674161</v>
      </c>
      <c r="H30" s="5" t="n">
        <f aca="false">(H25)*t_ft_m*100</f>
        <v>0.409601343832021</v>
      </c>
      <c r="I30" s="5" t="n">
        <f aca="false">(I25)*t_ft_m*100</f>
        <v>0.418001371391076</v>
      </c>
      <c r="J30" s="5" t="n">
        <f aca="false">(J25)*t_ft_m*100</f>
        <v>0.47500155839895</v>
      </c>
      <c r="L30" s="5"/>
      <c r="M30" s="3" t="s">
        <v>120</v>
      </c>
      <c r="N30" s="7"/>
      <c r="O30" s="1"/>
      <c r="P30" s="1"/>
      <c r="Q30" s="1"/>
      <c r="R30" s="1"/>
      <c r="S30" s="1"/>
      <c r="T30" s="1"/>
      <c r="U30" s="1"/>
    </row>
    <row r="31" customFormat="false" ht="12.8" hidden="false" customHeight="false" outlineLevel="0" collapsed="false">
      <c r="A31" s="0" t="s">
        <v>121</v>
      </c>
      <c r="B31" s="1" t="s">
        <v>112</v>
      </c>
      <c r="C31" s="5" t="n">
        <f aca="false">q_dot*1000/(4*k_fuel)*((R_fuel/100)^2)*(1-(C30/R_fuel)^2)+delta_gap+delta_clad</f>
        <v>92.3834112916388</v>
      </c>
      <c r="D31" s="5" t="n">
        <f aca="false">q_dot*1000/(4*k_fuel)*((R_fuel/100)^2)*(1-(D30/R_fuel)^2)+delta_gap+delta_clad</f>
        <v>90.9217313744396</v>
      </c>
      <c r="E31" s="5" t="n">
        <f aca="false">q_dot*1000/(4*k_fuel)*((R_fuel/100)^2)*(1-(E30/R_fuel)^2)+delta_gap+delta_clad</f>
        <v>85.0750117056427</v>
      </c>
      <c r="F31" s="5" t="n">
        <f aca="false">q_dot*1000/(4*k_fuel)*((R_fuel/100)^2)*(1-(F30/R_fuel)^2)+delta_gap+delta_clad</f>
        <v>73.381572368049</v>
      </c>
      <c r="G31" s="5" t="n">
        <f aca="false">q_dot*1000/(4*k_fuel)*((R_fuel/100)^2)*(1-(G30/R_fuel)^2)+delta_gap+delta_clad</f>
        <v>55.8414133616583</v>
      </c>
      <c r="H31" s="5" t="n">
        <f aca="false">delta_gap+delta_clad</f>
        <v>33.1857630817195</v>
      </c>
      <c r="I31" s="5" t="n">
        <f aca="false">delta_clad</f>
        <v>5.81405867843346</v>
      </c>
      <c r="J31" s="5" t="n">
        <v>0</v>
      </c>
      <c r="K31" s="5" t="n">
        <f aca="false">-delta_fluid</f>
        <v>-3.96372848086904</v>
      </c>
      <c r="L31" s="1" t="s">
        <v>105</v>
      </c>
      <c r="M31" s="6" t="n">
        <f aca="false">C32-C$31</f>
        <v>-4.11713666200922</v>
      </c>
      <c r="N31" s="6" t="n">
        <f aca="false">D32-D$31</f>
        <v>-4.36740526332851</v>
      </c>
      <c r="O31" s="6" t="n">
        <f aca="false">E32-E$31</f>
        <v>-3.65653115008716</v>
      </c>
      <c r="P31" s="6" t="n">
        <f aca="false">F32-F$31</f>
        <v>-2.43791625693787</v>
      </c>
      <c r="Q31" s="6" t="n">
        <f aca="false">G32-G$31</f>
        <v>-1.35503058388057</v>
      </c>
      <c r="R31" s="6" t="e">
        <f aca="false">C32-C$31</f>
        <v>#VALUE!</v>
      </c>
      <c r="S31" s="6" t="e">
        <f aca="false">D32-D$31</f>
        <v>#VALUE!</v>
      </c>
      <c r="T31" s="6" t="e">
        <f aca="false">E32-E$31</f>
        <v>#VALUE!</v>
      </c>
      <c r="U31" s="6" t="e">
        <f aca="false">F32-F$31</f>
        <v>#VALUE!</v>
      </c>
      <c r="V31" s="6" t="n">
        <f aca="false">H32-H$31</f>
        <v>-0.925606970608399</v>
      </c>
      <c r="W31" s="6" t="n">
        <f aca="false">H32-H$31</f>
        <v>-0.925606970608399</v>
      </c>
      <c r="X31" s="6" t="n">
        <f aca="false">I32-I$31</f>
        <v>-0.335008678433447</v>
      </c>
      <c r="Y31" s="6" t="n">
        <f aca="false">J32-J$31</f>
        <v>0</v>
      </c>
    </row>
    <row r="32" customFormat="false" ht="12.8" hidden="false" customHeight="false" outlineLevel="0" collapsed="false">
      <c r="A32" s="0" t="s">
        <v>121</v>
      </c>
      <c r="B32" s="1" t="s">
        <v>105</v>
      </c>
      <c r="C32" s="5" t="n">
        <f aca="false">(C26-$J26)*t_R_K</f>
        <v>88.2662746296296</v>
      </c>
      <c r="D32" s="5" t="n">
        <f aca="false">(D26-$J26)*t_R_K</f>
        <v>86.5543261111111</v>
      </c>
      <c r="E32" s="5" t="n">
        <f aca="false">(E26-$J26)*t_R_K</f>
        <v>81.4184805555556</v>
      </c>
      <c r="F32" s="5" t="n">
        <f aca="false">(F26-$J26)*t_R_K</f>
        <v>70.9436561111111</v>
      </c>
      <c r="G32" s="5" t="n">
        <f aca="false">(G26-$J26)*t_R_K</f>
        <v>54.4863827777778</v>
      </c>
      <c r="H32" s="5" t="n">
        <f aca="false">(H26-$J26)*t_R_K</f>
        <v>32.2601561111111</v>
      </c>
      <c r="I32" s="5" t="n">
        <f aca="false">(I26-$J26)*t_R_K</f>
        <v>5.47905000000002</v>
      </c>
      <c r="J32" s="5" t="n">
        <f aca="false">(J26-$J26)*t_R_K</f>
        <v>0</v>
      </c>
      <c r="K32" s="5" t="n">
        <f aca="false">(K26-$J26)*t_R_K</f>
        <v>-4.3028219079478</v>
      </c>
      <c r="L32" s="1" t="s">
        <v>106</v>
      </c>
      <c r="M32" s="6" t="n">
        <f aca="false">C33-C$31</f>
        <v>-3.93517425460186</v>
      </c>
      <c r="N32" s="6" t="n">
        <f aca="false">D33-D$31</f>
        <v>-4.18965192999521</v>
      </c>
      <c r="O32" s="6" t="n">
        <f aca="false">E33-E$31</f>
        <v>-3.4914050389761</v>
      </c>
      <c r="P32" s="6" t="n">
        <f aca="false">F33-F$31</f>
        <v>-2.29728181249348</v>
      </c>
      <c r="Q32" s="6" t="n">
        <f aca="false">G33-G$31</f>
        <v>-1.24946669499167</v>
      </c>
      <c r="R32" s="6" t="e">
        <f aca="false">C33-C$31</f>
        <v>#VALUE!</v>
      </c>
      <c r="S32" s="6" t="e">
        <f aca="false">D33-D$31</f>
        <v>#VALUE!</v>
      </c>
      <c r="T32" s="6" t="e">
        <f aca="false">E33-E$31</f>
        <v>#VALUE!</v>
      </c>
      <c r="U32" s="6" t="e">
        <f aca="false">F33-F$31</f>
        <v>#VALUE!</v>
      </c>
      <c r="V32" s="6" t="n">
        <f aca="false">H33-H$31</f>
        <v>-0.861404192830648</v>
      </c>
      <c r="W32" s="6" t="n">
        <f aca="false">H33-H$31</f>
        <v>-0.861404192830648</v>
      </c>
      <c r="X32" s="6" t="n">
        <f aca="false">I33-I$31</f>
        <v>-0.323884233989046</v>
      </c>
      <c r="Y32" s="6" t="n">
        <f aca="false">J33-J$31</f>
        <v>0</v>
      </c>
    </row>
    <row r="33" customFormat="false" ht="12.8" hidden="false" customHeight="false" outlineLevel="0" collapsed="false">
      <c r="A33" s="0" t="s">
        <v>121</v>
      </c>
      <c r="B33" s="1" t="s">
        <v>106</v>
      </c>
      <c r="C33" s="5" t="n">
        <f aca="false">(C27-$J27)*t_R_K</f>
        <v>88.448237037037</v>
      </c>
      <c r="D33" s="5" t="n">
        <f aca="false">(D27-$J27)*t_R_K</f>
        <v>86.7320794444444</v>
      </c>
      <c r="E33" s="5" t="n">
        <f aca="false">(E27-$J27)*t_R_K</f>
        <v>81.5836066666666</v>
      </c>
      <c r="F33" s="5" t="n">
        <f aca="false">(F27-$J27)*t_R_K</f>
        <v>71.0842905555555</v>
      </c>
      <c r="G33" s="5" t="n">
        <f aca="false">(G27-$J27)*t_R_K</f>
        <v>54.5919466666667</v>
      </c>
      <c r="H33" s="5" t="n">
        <f aca="false">(H27-$J27)*t_R_K</f>
        <v>32.3243588888888</v>
      </c>
      <c r="I33" s="5" t="n">
        <f aca="false">(I27-$J27)*t_R_K</f>
        <v>5.49017444444442</v>
      </c>
      <c r="J33" s="5" t="n">
        <f aca="false">(J27-$J27)*t_R_K</f>
        <v>0</v>
      </c>
      <c r="K33" s="5" t="n">
        <f aca="false">(K27-$J27)*t_R_K</f>
        <v>-4.31357190794782</v>
      </c>
      <c r="L33" s="1" t="s">
        <v>107</v>
      </c>
      <c r="M33" s="6" t="n">
        <f aca="false">C34-C$31</f>
        <v>-4.14767777312026</v>
      </c>
      <c r="N33" s="6" t="n">
        <f aca="false">D34-D$31</f>
        <v>-4.39723970777291</v>
      </c>
      <c r="O33" s="6" t="n">
        <f aca="false">E34-E$31</f>
        <v>-3.68424559453162</v>
      </c>
      <c r="P33" s="6" t="n">
        <f aca="false">F34-F$31</f>
        <v>-2.46152014582678</v>
      </c>
      <c r="Q33" s="6" t="n">
        <f aca="false">G34-G$31</f>
        <v>-1.37274836165833</v>
      </c>
      <c r="R33" s="6" t="e">
        <f aca="false">C34-C$31</f>
        <v>#VALUE!</v>
      </c>
      <c r="S33" s="6" t="e">
        <f aca="false">D34-D$31</f>
        <v>#VALUE!</v>
      </c>
      <c r="T33" s="6" t="e">
        <f aca="false">E34-E$31</f>
        <v>#VALUE!</v>
      </c>
      <c r="U33" s="6" t="e">
        <f aca="false">F34-F$31</f>
        <v>#VALUE!</v>
      </c>
      <c r="V33" s="6" t="n">
        <f aca="false">H34-H$31</f>
        <v>-0.936382526163904</v>
      </c>
      <c r="W33" s="6" t="n">
        <f aca="false">H34-H$31</f>
        <v>-0.936382526163904</v>
      </c>
      <c r="X33" s="6" t="n">
        <f aca="false">I34-I$31</f>
        <v>-0.336875900655692</v>
      </c>
      <c r="Y33" s="6" t="n">
        <f aca="false">J34-J$31</f>
        <v>0</v>
      </c>
    </row>
    <row r="34" customFormat="false" ht="12.8" hidden="false" customHeight="false" outlineLevel="0" collapsed="false">
      <c r="A34" s="0" t="s">
        <v>121</v>
      </c>
      <c r="B34" s="1" t="s">
        <v>107</v>
      </c>
      <c r="C34" s="5" t="n">
        <f aca="false">(C28-$J28)*t_R_K</f>
        <v>88.2357335185186</v>
      </c>
      <c r="D34" s="5" t="n">
        <f aca="false">(D28-$J28)*t_R_K</f>
        <v>86.5244916666667</v>
      </c>
      <c r="E34" s="5" t="n">
        <f aca="false">(E28-$J28)*t_R_K</f>
        <v>81.3907661111111</v>
      </c>
      <c r="F34" s="5" t="n">
        <f aca="false">(F28-$J28)*t_R_K</f>
        <v>70.9200522222222</v>
      </c>
      <c r="G34" s="5" t="n">
        <f aca="false">(G28-$J28)*t_R_K</f>
        <v>54.468665</v>
      </c>
      <c r="H34" s="5" t="n">
        <f aca="false">(H28-$J28)*t_R_K</f>
        <v>32.2493805555556</v>
      </c>
      <c r="I34" s="5" t="n">
        <f aca="false">(I28-$J28)*t_R_K</f>
        <v>5.47718277777777</v>
      </c>
      <c r="J34" s="5" t="n">
        <f aca="false">(J28-$J28)*t_R_K</f>
        <v>0</v>
      </c>
      <c r="K34" s="5" t="n">
        <f aca="false">(K28-$J28)*t_R_K</f>
        <v>-4.30102246350335</v>
      </c>
    </row>
    <row r="35" customFormat="false" ht="12.8" hidden="false" customHeight="false" outlineLevel="0" collapsed="false">
      <c r="B35" s="1"/>
      <c r="C35" s="5"/>
      <c r="D35" s="5"/>
      <c r="E35" s="5"/>
      <c r="F35" s="5"/>
      <c r="G35" s="5"/>
      <c r="H35" s="5"/>
      <c r="I35" s="5"/>
      <c r="J35" s="5"/>
      <c r="K35" s="5"/>
    </row>
    <row r="36" customFormat="false" ht="12.8" hidden="false" customHeight="false" outlineLevel="0" collapsed="false">
      <c r="C36" s="4" t="s">
        <v>122</v>
      </c>
    </row>
    <row r="37" customFormat="false" ht="12.8" hidden="false" customHeight="false" outlineLevel="0" collapsed="false">
      <c r="B37" s="1" t="s">
        <v>119</v>
      </c>
      <c r="C37" s="7" t="n">
        <f aca="false">(C25)*t_ft_m*100</f>
        <v>0</v>
      </c>
      <c r="D37" s="7" t="n">
        <f aca="false">(D25)*t_ft_m*100</f>
        <v>0.0643626417348321</v>
      </c>
      <c r="E37" s="7" t="n">
        <f aca="false">(E25)*t_ft_m*100</f>
        <v>0.14391924213055</v>
      </c>
      <c r="F37" s="7" t="n">
        <f aca="false">(F25)*t_ft_m*100</f>
        <v>0.232062804999256</v>
      </c>
      <c r="G37" s="7" t="n">
        <f aca="false">(G25)*t_ft_m*100</f>
        <v>0.321813208674161</v>
      </c>
      <c r="H37" s="7" t="n">
        <f aca="false">(H25)*t_ft_m*100</f>
        <v>0.409601343832021</v>
      </c>
      <c r="I37" s="7" t="n">
        <f aca="false">(I25)*t_ft_m*100</f>
        <v>0.418001371391076</v>
      </c>
      <c r="J37" s="7" t="n">
        <f aca="false">(J25)*t_ft_m*100</f>
        <v>0.47500155839895</v>
      </c>
      <c r="K37" s="7"/>
    </row>
    <row r="38" customFormat="false" ht="12.8" hidden="false" customHeight="false" outlineLevel="0" collapsed="false">
      <c r="A38" s="0" t="s">
        <v>121</v>
      </c>
      <c r="B38" s="1" t="s">
        <v>112</v>
      </c>
      <c r="C38" s="5" t="n">
        <f aca="false">C31+$K38-$K31</f>
        <v>387.281691753449</v>
      </c>
      <c r="D38" s="5" t="n">
        <f aca="false">D31+$K38-$K31</f>
        <v>385.82001183625</v>
      </c>
      <c r="E38" s="5" t="n">
        <f aca="false">E31+$K38-$K31</f>
        <v>379.973292167453</v>
      </c>
      <c r="F38" s="5" t="n">
        <f aca="false">F31+$K38-$K31</f>
        <v>368.279852829859</v>
      </c>
      <c r="G38" s="5" t="n">
        <f aca="false">G31+$K38-$K31</f>
        <v>350.739693823469</v>
      </c>
      <c r="H38" s="5" t="n">
        <f aca="false">H31+$K38-$K31</f>
        <v>328.08404354353</v>
      </c>
      <c r="I38" s="5" t="n">
        <f aca="false">I31+$K38-$K31</f>
        <v>300.712339140244</v>
      </c>
      <c r="J38" s="5" t="n">
        <f aca="false">J31+$K38-$K31</f>
        <v>294.89828046181</v>
      </c>
      <c r="K38" s="5" t="n">
        <f aca="false">5/9*(K25-32)</f>
        <v>290.934551980941</v>
      </c>
      <c r="L38" s="5"/>
      <c r="M38" s="3" t="s">
        <v>123</v>
      </c>
      <c r="N38" s="7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0" t="s">
        <v>121</v>
      </c>
      <c r="B39" s="1" t="s">
        <v>105</v>
      </c>
      <c r="C39" s="5" t="n">
        <f aca="false">C32+$K39-$K32</f>
        <v>383.503648518519</v>
      </c>
      <c r="D39" s="5" t="n">
        <f aca="false">D32+$K39-$K32</f>
        <v>381.7917</v>
      </c>
      <c r="E39" s="5" t="n">
        <f aca="false">E32+$K39-$K32</f>
        <v>376.655854444444</v>
      </c>
      <c r="F39" s="5" t="n">
        <f aca="false">F32+$K39-$K32</f>
        <v>366.18103</v>
      </c>
      <c r="G39" s="5" t="n">
        <f aca="false">G32+$K39-$K32</f>
        <v>349.723756666667</v>
      </c>
      <c r="H39" s="5" t="n">
        <f aca="false">H32+$K39-$K32</f>
        <v>327.49753</v>
      </c>
      <c r="I39" s="5" t="n">
        <f aca="false">I32+$K39-$K32</f>
        <v>300.716423888889</v>
      </c>
      <c r="J39" s="5" t="n">
        <f aca="false">J32+$K39-$K32</f>
        <v>295.237373888889</v>
      </c>
      <c r="K39" s="5" t="n">
        <f aca="false">5/9*(K26-32)</f>
        <v>290.934551980941</v>
      </c>
      <c r="L39" s="1" t="s">
        <v>105</v>
      </c>
      <c r="M39" s="19" t="n">
        <f aca="false">(C39-C$38)/C$38</f>
        <v>-0.00975528488791988</v>
      </c>
      <c r="N39" s="19" t="n">
        <f aca="false">(D39-D$38)/D$38</f>
        <v>-0.0104409095243081</v>
      </c>
      <c r="O39" s="19" t="n">
        <f aca="false">(E39-E$38)/E$38</f>
        <v>-0.00873071289849088</v>
      </c>
      <c r="P39" s="19" t="n">
        <f aca="false">(F39-F$38)/F$38</f>
        <v>-0.0056989889990771</v>
      </c>
      <c r="Q39" s="19" t="n">
        <f aca="false">(G39-G$38)/G$38</f>
        <v>-0.00289655597781634</v>
      </c>
      <c r="R39" s="19" t="e">
        <f aca="false">(C39-C$38)/C$38</f>
        <v>#VALUE!</v>
      </c>
      <c r="S39" s="19" t="e">
        <f aca="false">(D39-D$38)/D$38</f>
        <v>#VALUE!</v>
      </c>
      <c r="T39" s="19" t="e">
        <f aca="false">(E39-E$38)/E$38</f>
        <v>#VALUE!</v>
      </c>
      <c r="U39" s="19" t="e">
        <f aca="false">(F39-F$38)/F$38</f>
        <v>#VALUE!</v>
      </c>
      <c r="V39" s="19" t="n">
        <f aca="false">(H39-H$38)/H$38</f>
        <v>-0.00178769298620832</v>
      </c>
      <c r="W39" s="19" t="n">
        <f aca="false">(H39-H$38)/H$38</f>
        <v>-0.00178769298620832</v>
      </c>
      <c r="X39" s="19" t="n">
        <f aca="false">(I39-I$38)/I$38</f>
        <v>1.35835751103207E-005</v>
      </c>
      <c r="Y39" s="19" t="n">
        <f aca="false">(J39-J$38)/J$38</f>
        <v>0.00114986573183042</v>
      </c>
    </row>
    <row r="40" customFormat="false" ht="12.8" hidden="false" customHeight="false" outlineLevel="0" collapsed="false">
      <c r="A40" s="0" t="s">
        <v>121</v>
      </c>
      <c r="B40" s="1" t="s">
        <v>106</v>
      </c>
      <c r="C40" s="5" t="n">
        <f aca="false">C33+$K40-$K33</f>
        <v>383.696360925926</v>
      </c>
      <c r="D40" s="5" t="n">
        <f aca="false">D33+$K40-$K33</f>
        <v>381.980203333333</v>
      </c>
      <c r="E40" s="5" t="n">
        <f aca="false">E33+$K40-$K33</f>
        <v>376.831730555556</v>
      </c>
      <c r="F40" s="5" t="n">
        <f aca="false">F33+$K40-$K33</f>
        <v>366.332414444444</v>
      </c>
      <c r="G40" s="5" t="n">
        <f aca="false">G33+$K40-$K33</f>
        <v>349.840070555556</v>
      </c>
      <c r="H40" s="5" t="n">
        <f aca="false">H33+$K40-$K33</f>
        <v>327.572482777778</v>
      </c>
      <c r="I40" s="5" t="n">
        <f aca="false">I33+$K40-$K33</f>
        <v>300.738298333333</v>
      </c>
      <c r="J40" s="5" t="n">
        <f aca="false">J33+$K40-$K33</f>
        <v>295.248123888889</v>
      </c>
      <c r="K40" s="5" t="n">
        <f aca="false">5/9*(K27-32)</f>
        <v>290.934551980941</v>
      </c>
      <c r="L40" s="1" t="s">
        <v>106</v>
      </c>
      <c r="M40" s="19" t="n">
        <f aca="false">(C40-C$38)/C$38</f>
        <v>-0.00925768220875679</v>
      </c>
      <c r="N40" s="19" t="n">
        <f aca="false">(D40-D$38)/D$38</f>
        <v>-0.0099523311003013</v>
      </c>
      <c r="O40" s="19" t="n">
        <f aca="false">(E40-E$38)/E$38</f>
        <v>-0.00826784849529082</v>
      </c>
      <c r="P40" s="19" t="n">
        <f aca="false">(F40-F$38)/F$38</f>
        <v>-0.00528793082339593</v>
      </c>
      <c r="Q40" s="19" t="n">
        <f aca="false">(G40-G$38)/G$38</f>
        <v>-0.00256493143991206</v>
      </c>
      <c r="R40" s="19" t="e">
        <f aca="false">(C40-C$38)/C$38</f>
        <v>#VALUE!</v>
      </c>
      <c r="S40" s="19" t="e">
        <f aca="false">(D40-D$38)/D$38</f>
        <v>#VALUE!</v>
      </c>
      <c r="T40" s="19" t="e">
        <f aca="false">(E40-E$38)/E$38</f>
        <v>#VALUE!</v>
      </c>
      <c r="U40" s="19" t="e">
        <f aca="false">(F40-F$38)/F$38</f>
        <v>#VALUE!</v>
      </c>
      <c r="V40" s="19" t="n">
        <f aca="false">(H40-H$38)/H$38</f>
        <v>-0.00155923695717334</v>
      </c>
      <c r="W40" s="19" t="n">
        <f aca="false">(H40-H$38)/H$38</f>
        <v>-0.00155923695717334</v>
      </c>
      <c r="X40" s="19" t="n">
        <f aca="false">(I40-I$38)/I$38</f>
        <v>8.63256664620637E-005</v>
      </c>
      <c r="Y40" s="19" t="n">
        <f aca="false">(J40-J$38)/J$38</f>
        <v>0.00118631897931338</v>
      </c>
    </row>
    <row r="41" customFormat="false" ht="12.8" hidden="false" customHeight="false" outlineLevel="0" collapsed="false">
      <c r="A41" s="0" t="s">
        <v>121</v>
      </c>
      <c r="B41" s="1" t="s">
        <v>107</v>
      </c>
      <c r="C41" s="5" t="n">
        <f aca="false">C34+$K41-$K34</f>
        <v>383.471307962963</v>
      </c>
      <c r="D41" s="5" t="n">
        <f aca="false">D34+$K41-$K34</f>
        <v>381.760066111111</v>
      </c>
      <c r="E41" s="5" t="n">
        <f aca="false">E34+$K41-$K34</f>
        <v>376.626340555556</v>
      </c>
      <c r="F41" s="5" t="n">
        <f aca="false">F34+$K41-$K34</f>
        <v>366.155626666667</v>
      </c>
      <c r="G41" s="5" t="n">
        <f aca="false">G34+$K41-$K34</f>
        <v>349.704239444444</v>
      </c>
      <c r="H41" s="5" t="n">
        <f aca="false">H34+$K41-$K34</f>
        <v>327.484955</v>
      </c>
      <c r="I41" s="5" t="n">
        <f aca="false">I34+$K41-$K34</f>
        <v>300.712757222222</v>
      </c>
      <c r="J41" s="5" t="n">
        <f aca="false">J34+$K41-$K34</f>
        <v>295.235574444444</v>
      </c>
      <c r="K41" s="5" t="n">
        <f aca="false">5/9*(K28-32)</f>
        <v>290.934551980941</v>
      </c>
      <c r="L41" s="1" t="s">
        <v>107</v>
      </c>
      <c r="M41" s="19" t="n">
        <f aca="false">(C41-C$38)/C$38</f>
        <v>-0.0098387914317204</v>
      </c>
      <c r="N41" s="19" t="n">
        <f aca="false">(D41-D$38)/D$38</f>
        <v>-0.0105229008361075</v>
      </c>
      <c r="O41" s="19" t="n">
        <f aca="false">(E41-E$38)/E$38</f>
        <v>-0.00880838648633849</v>
      </c>
      <c r="P41" s="19" t="n">
        <f aca="false">(F41-F$38)/F$38</f>
        <v>-0.0057679673402441</v>
      </c>
      <c r="Q41" s="19" t="n">
        <f aca="false">(G41-G$38)/G$38</f>
        <v>-0.00295220186724929</v>
      </c>
      <c r="R41" s="19" t="e">
        <f aca="false">(C41-C$38)/C$38</f>
        <v>#VALUE!</v>
      </c>
      <c r="S41" s="19" t="e">
        <f aca="false">(D41-D$38)/D$38</f>
        <v>#VALUE!</v>
      </c>
      <c r="T41" s="19" t="e">
        <f aca="false">(E41-E$38)/E$38</f>
        <v>#VALUE!</v>
      </c>
      <c r="U41" s="19" t="e">
        <f aca="false">(F41-F$38)/F$38</f>
        <v>#VALUE!</v>
      </c>
      <c r="V41" s="19" t="n">
        <f aca="false">(H41-H$38)/H$38</f>
        <v>-0.00182602157989472</v>
      </c>
      <c r="W41" s="19" t="n">
        <f aca="false">(H41-H$38)/H$38</f>
        <v>-0.00182602157989472</v>
      </c>
      <c r="X41" s="19" t="n">
        <f aca="false">(I41-I$38)/I$38</f>
        <v>1.39030536550479E-006</v>
      </c>
      <c r="Y41" s="19" t="n">
        <f aca="false">(J41-J$38)/J$38</f>
        <v>0.00114376381614048</v>
      </c>
    </row>
    <row r="42" customFormat="false" ht="12.8" hidden="false" customHeight="false" outlineLevel="0" collapsed="false">
      <c r="Q42" s="1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5" customFormat="false" ht="12.8" hidden="false" customHeight="false" outlineLevel="0" collapsed="false">
      <c r="C45" s="1"/>
      <c r="D45" s="1" t="s">
        <v>124</v>
      </c>
    </row>
    <row r="46" customFormat="false" ht="12.8" hidden="false" customHeight="false" outlineLevel="0" collapsed="false">
      <c r="B46" s="5"/>
      <c r="C46" s="5"/>
      <c r="D46" s="17" t="n">
        <v>719.22506</v>
      </c>
      <c r="E46" s="5" t="n">
        <v>709.980538</v>
      </c>
      <c r="F46" s="5" t="n">
        <v>691.125854</v>
      </c>
      <c r="G46" s="5" t="n">
        <v>661.502762</v>
      </c>
      <c r="H46" s="5" t="n">
        <v>621.495554</v>
      </c>
      <c r="I46" s="5" t="n">
        <v>573.289563</v>
      </c>
      <c r="J46" s="5" t="n">
        <v>563.427273</v>
      </c>
      <c r="K46" s="5"/>
      <c r="L46" s="5"/>
      <c r="M46" s="5"/>
      <c r="N46" s="5"/>
      <c r="O46" s="5"/>
      <c r="P46" s="5"/>
    </row>
    <row r="47" customFormat="false" ht="12.8" hidden="false" customHeight="false" outlineLevel="0" collapsed="false">
      <c r="A47" s="5"/>
      <c r="D47" s="18" t="n">
        <v>719.564366</v>
      </c>
      <c r="E47" s="0" t="n">
        <v>710.297115</v>
      </c>
      <c r="F47" s="0" t="n">
        <v>691.398346</v>
      </c>
      <c r="G47" s="0" t="n">
        <v>661.712127</v>
      </c>
      <c r="H47" s="0" t="n">
        <v>621.630469</v>
      </c>
      <c r="I47" s="0" t="n">
        <v>573.328937</v>
      </c>
      <c r="J47" s="0" t="n">
        <v>563.446623</v>
      </c>
    </row>
    <row r="48" customFormat="false" ht="12.8" hidden="false" customHeight="false" outlineLevel="0" collapsed="false">
      <c r="D48" s="18" t="n">
        <v>719.168119</v>
      </c>
      <c r="E48" s="0" t="n">
        <v>709.927413</v>
      </c>
      <c r="F48" s="9" t="n">
        <v>691.080128</v>
      </c>
      <c r="G48" s="9" t="n">
        <v>661.467631</v>
      </c>
      <c r="H48" s="9" t="n">
        <v>621.472919</v>
      </c>
      <c r="I48" s="9" t="n">
        <v>573.282963</v>
      </c>
      <c r="J48" s="9" t="n">
        <v>563.424034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P32" activeCellId="0" sqref="P32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B1" s="13" t="s">
        <v>97</v>
      </c>
      <c r="C1" s="13"/>
      <c r="D1" s="13"/>
      <c r="E1" s="13"/>
    </row>
    <row r="2" customFormat="false" ht="12.8" hidden="false" customHeight="false" outlineLevel="0" collapsed="false">
      <c r="B2" s="13"/>
      <c r="C2" s="13"/>
      <c r="D2" s="13"/>
      <c r="E2" s="13"/>
    </row>
    <row r="4" customFormat="false" ht="12.8" hidden="false" customHeight="false" outlineLevel="0" collapsed="false">
      <c r="B4" s="0" t="s">
        <v>98</v>
      </c>
    </row>
    <row r="6" customFormat="false" ht="12.8" hidden="false" customHeight="false" outlineLevel="0" collapsed="false">
      <c r="B6" s="4" t="s">
        <v>99</v>
      </c>
    </row>
    <row r="7" customFormat="false" ht="12.8" hidden="false" customHeight="false" outlineLevel="0" collapsed="false">
      <c r="C7" s="0" t="s">
        <v>100</v>
      </c>
      <c r="D7" s="0" t="s">
        <v>101</v>
      </c>
      <c r="E7" s="0" t="s">
        <v>101</v>
      </c>
    </row>
    <row r="8" customFormat="false" ht="12.8" hidden="false" customHeight="false" outlineLevel="0" collapsed="false">
      <c r="C8" s="0" t="s">
        <v>102</v>
      </c>
      <c r="D8" s="0" t="s">
        <v>103</v>
      </c>
      <c r="E8" s="0" t="s">
        <v>82</v>
      </c>
    </row>
    <row r="9" customFormat="false" ht="12.8" hidden="false" customHeight="false" outlineLevel="0" collapsed="false">
      <c r="B9" s="1" t="s">
        <v>104</v>
      </c>
      <c r="C9" s="7" t="n">
        <v>0.661386</v>
      </c>
      <c r="D9" s="1" t="n">
        <v>554.232258064516</v>
      </c>
      <c r="E9" s="1" t="n">
        <f aca="false">2.326*D9</f>
        <v>1289.14423225806</v>
      </c>
    </row>
    <row r="10" customFormat="false" ht="12.8" hidden="false" customHeight="false" outlineLevel="0" collapsed="false">
      <c r="B10" s="1" t="s">
        <v>105</v>
      </c>
      <c r="C10" s="7" t="n">
        <v>0.661395386741239</v>
      </c>
      <c r="D10" s="1" t="n">
        <v>575.486918077176</v>
      </c>
      <c r="E10" s="1" t="n">
        <f aca="false">2.326*D10</f>
        <v>1338.58257144751</v>
      </c>
    </row>
    <row r="11" customFormat="false" ht="12.8" hidden="false" customHeight="false" outlineLevel="0" collapsed="false">
      <c r="B11" s="1" t="s">
        <v>106</v>
      </c>
      <c r="C11" s="1" t="n">
        <f aca="false">C10</f>
        <v>0.661395386741239</v>
      </c>
      <c r="D11" s="1" t="n">
        <v>575.545450973847</v>
      </c>
      <c r="E11" s="1" t="n">
        <f aca="false">2.326*D11</f>
        <v>1338.71871896517</v>
      </c>
    </row>
    <row r="12" customFormat="false" ht="12.8" hidden="false" customHeight="false" outlineLevel="0" collapsed="false">
      <c r="B12" s="1" t="s">
        <v>107</v>
      </c>
      <c r="C12" s="1" t="n">
        <f aca="false">C11</f>
        <v>0.661395386741239</v>
      </c>
      <c r="D12" s="1" t="n">
        <v>575.510495589131</v>
      </c>
      <c r="E12" s="1" t="n">
        <f aca="false">2.326*D12</f>
        <v>1338.63741274032</v>
      </c>
    </row>
    <row r="16" customFormat="false" ht="12.8" hidden="false" customHeight="false" outlineLevel="0" collapsed="false">
      <c r="B16" s="4" t="s">
        <v>108</v>
      </c>
    </row>
    <row r="17" customFormat="false" ht="12.8" hidden="false" customHeight="false" outlineLevel="0" collapsed="false">
      <c r="B17" s="1"/>
      <c r="C17" s="1" t="s">
        <v>109</v>
      </c>
      <c r="D17" s="1" t="s">
        <v>110</v>
      </c>
      <c r="E17" s="1" t="s">
        <v>111</v>
      </c>
    </row>
    <row r="18" customFormat="false" ht="12.8" hidden="false" customHeight="false" outlineLevel="0" collapsed="false">
      <c r="B18" s="1"/>
      <c r="C18" s="1" t="s">
        <v>82</v>
      </c>
      <c r="D18" s="1" t="s">
        <v>62</v>
      </c>
      <c r="E18" s="1" t="s">
        <v>60</v>
      </c>
    </row>
    <row r="19" customFormat="false" ht="12.8" hidden="false" customHeight="false" outlineLevel="0" collapsed="false">
      <c r="B19" s="1" t="s">
        <v>112</v>
      </c>
      <c r="C19" s="1" t="n">
        <f aca="false">q_lin*L_chan/(M_dot)</f>
        <v>48.7733333333333</v>
      </c>
      <c r="D19" s="14" t="n">
        <f aca="false">M_dot*C19</f>
        <v>14.632</v>
      </c>
      <c r="E19" s="5" t="n">
        <f aca="false">q_lin</f>
        <v>4</v>
      </c>
      <c r="F19" s="0" t="s">
        <v>113</v>
      </c>
    </row>
    <row r="20" customFormat="false" ht="12.8" hidden="false" customHeight="false" outlineLevel="0" collapsed="false">
      <c r="B20" s="1" t="s">
        <v>105</v>
      </c>
      <c r="C20" s="5" t="n">
        <f aca="false">E10-$E$9</f>
        <v>49.4383391894467</v>
      </c>
      <c r="D20" s="14" t="n">
        <f aca="false">M_dot*C20</f>
        <v>14.831501756834</v>
      </c>
      <c r="E20" s="5" t="n">
        <f aca="false">D20/L_chan</f>
        <v>4.05453847917824</v>
      </c>
      <c r="F20" s="15" t="n">
        <f aca="false">(E20-$E$19)/$E$19</f>
        <v>0.0136346197945598</v>
      </c>
    </row>
    <row r="21" customFormat="false" ht="12.8" hidden="false" customHeight="false" outlineLevel="0" collapsed="false">
      <c r="B21" s="1" t="s">
        <v>106</v>
      </c>
      <c r="C21" s="5" t="n">
        <f aca="false">E11-$E$9</f>
        <v>49.5744867071039</v>
      </c>
      <c r="D21" s="14" t="n">
        <f aca="false">M_dot*C21</f>
        <v>14.8723460121312</v>
      </c>
      <c r="E21" s="5" t="n">
        <f aca="false">D21/L_chan</f>
        <v>4.06570421326713</v>
      </c>
      <c r="F21" s="15" t="n">
        <f aca="false">(E21-$E$19)/$E$19</f>
        <v>0.0164260533167835</v>
      </c>
    </row>
    <row r="22" customFormat="false" ht="12.8" hidden="false" customHeight="false" outlineLevel="0" collapsed="false">
      <c r="B22" s="1" t="s">
        <v>107</v>
      </c>
      <c r="C22" s="5" t="n">
        <f aca="false">E12-$E$9</f>
        <v>49.4931804822545</v>
      </c>
      <c r="D22" s="14" t="n">
        <f aca="false">M_dot*C22</f>
        <v>14.8479541446764</v>
      </c>
      <c r="E22" s="5" t="n">
        <f aca="false">D22/L_chan</f>
        <v>4.05903612484318</v>
      </c>
      <c r="F22" s="15" t="n">
        <f aca="false">(E22-$E$19)/$E$19</f>
        <v>0.014759031210795</v>
      </c>
    </row>
    <row r="23" customFormat="false" ht="12.8" hidden="false" customHeight="false" outlineLevel="0" collapsed="false">
      <c r="C23" s="4" t="s">
        <v>99</v>
      </c>
      <c r="P23" s="1" t="s">
        <v>115</v>
      </c>
    </row>
    <row r="24" customFormat="false" ht="12.8" hidden="false" customHeight="false" outlineLevel="0" collapsed="false">
      <c r="B24" s="0" t="s">
        <v>114</v>
      </c>
      <c r="D24" s="9" t="n">
        <f aca="false">D25</f>
        <v>0.00100024498402407</v>
      </c>
      <c r="E24" s="9" t="n">
        <f aca="false">E25</f>
        <v>0.00223661577843101</v>
      </c>
      <c r="F24" s="0" t="n">
        <f aca="false">F25-E25</f>
        <v>0.00136981879949343</v>
      </c>
      <c r="G24" s="0" t="n">
        <f aca="false">G25-F25</f>
        <v>0.00139479034219591</v>
      </c>
      <c r="H24" s="0" t="n">
        <f aca="false">H25-G25</f>
        <v>0.00140346798045481</v>
      </c>
      <c r="I24" s="0" t="n">
        <f aca="false">I25-H25</f>
        <v>0.00140747016172609</v>
      </c>
      <c r="J24" s="0" t="n">
        <f aca="false">J25-I25</f>
        <v>0.00140964003609288</v>
      </c>
      <c r="K24" s="0" t="n">
        <f aca="false">K25-J25</f>
        <v>0.00141094693023817</v>
      </c>
      <c r="L24" s="0" t="n">
        <f aca="false">L25-K25</f>
        <v>0.0014117945484561</v>
      </c>
      <c r="M24" s="0" t="n">
        <f aca="false">M25-L25</f>
        <v>0.0013937756328854</v>
      </c>
      <c r="N24" s="0" t="n">
        <f aca="false">N25-M25</f>
        <v>0.000275590551181102</v>
      </c>
      <c r="O24" s="0" t="n">
        <f aca="false">O25-N25</f>
        <v>0.0018700787401574</v>
      </c>
      <c r="P24" s="16" t="n">
        <f aca="false">(t_in+q_lin*dz*2/(M_dot*cp_in))*9/5+32</f>
        <v>555.682193565694</v>
      </c>
    </row>
    <row r="25" customFormat="false" ht="12.8" hidden="false" customHeight="false" outlineLevel="0" collapsed="false">
      <c r="B25" s="0" t="s">
        <v>116</v>
      </c>
      <c r="C25" s="9" t="n">
        <v>0</v>
      </c>
      <c r="D25" s="9" t="n">
        <v>0.00100024498402407</v>
      </c>
      <c r="E25" s="9" t="n">
        <v>0.00223661577843101</v>
      </c>
      <c r="F25" s="9" t="n">
        <v>0.00360643457792444</v>
      </c>
      <c r="G25" s="9" t="n">
        <v>0.00500122492012035</v>
      </c>
      <c r="H25" s="9" t="n">
        <v>0.00640469290057516</v>
      </c>
      <c r="I25" s="9" t="n">
        <v>0.00781216306230125</v>
      </c>
      <c r="J25" s="9" t="n">
        <v>0.00922180309839413</v>
      </c>
      <c r="K25" s="9" t="n">
        <v>0.0106327500286323</v>
      </c>
      <c r="L25" s="9" t="n">
        <v>0.0120445445770884</v>
      </c>
      <c r="M25" s="9" t="n">
        <v>0.0134383202099738</v>
      </c>
      <c r="N25" s="9" t="n">
        <v>0.0137139107611549</v>
      </c>
      <c r="O25" s="9" t="n">
        <v>0.0155839895013123</v>
      </c>
      <c r="P25" s="9" t="n">
        <f aca="false">P24</f>
        <v>555.682193565694</v>
      </c>
    </row>
    <row r="26" customFormat="false" ht="12.8" hidden="false" customHeight="false" outlineLevel="0" collapsed="false">
      <c r="A26" s="0" t="s">
        <v>117</v>
      </c>
      <c r="B26" s="1" t="s">
        <v>105</v>
      </c>
      <c r="C26" s="5" t="n">
        <f aca="false">1/3*(4*D26-E26)</f>
        <v>726.435139666667</v>
      </c>
      <c r="D26" s="5" t="n">
        <v>725.74359</v>
      </c>
      <c r="E26" s="5" t="n">
        <v>723.668941</v>
      </c>
      <c r="F26" s="5" t="n">
        <v>719.437985</v>
      </c>
      <c r="G26" s="5" t="n">
        <v>712.79169</v>
      </c>
      <c r="H26" s="5" t="n">
        <v>703.731597</v>
      </c>
      <c r="I26" s="5" t="n">
        <v>692.269843</v>
      </c>
      <c r="J26" s="5" t="n">
        <v>678.415719</v>
      </c>
      <c r="K26" s="5" t="n">
        <v>662.175633</v>
      </c>
      <c r="L26" s="5" t="n">
        <v>643.553962</v>
      </c>
      <c r="M26" s="5" t="n">
        <v>622.597662</v>
      </c>
      <c r="N26" s="5" t="n">
        <v>573.604592</v>
      </c>
      <c r="O26" s="5" t="n">
        <v>563.581196</v>
      </c>
      <c r="P26" s="9" t="n">
        <f aca="false">P25</f>
        <v>555.682193565694</v>
      </c>
    </row>
    <row r="27" customFormat="false" ht="12.8" hidden="false" customHeight="false" outlineLevel="0" collapsed="false">
      <c r="A27" s="0" t="s">
        <v>117</v>
      </c>
      <c r="B27" s="1" t="s">
        <v>106</v>
      </c>
      <c r="C27" s="5" t="n">
        <f aca="false">1/3*(4*D27-E27)</f>
        <v>726.741788666667</v>
      </c>
      <c r="D27" s="1" t="n">
        <v>726.04867</v>
      </c>
      <c r="E27" s="1" t="n">
        <v>723.969314</v>
      </c>
      <c r="F27" s="1" t="n">
        <v>719.72887</v>
      </c>
      <c r="G27" s="1" t="n">
        <v>713.067973</v>
      </c>
      <c r="H27" s="1" t="n">
        <v>703.988554</v>
      </c>
      <c r="I27" s="1" t="n">
        <v>692.503289</v>
      </c>
      <c r="J27" s="1" t="n">
        <v>678.622103</v>
      </c>
      <c r="K27" s="1" t="n">
        <v>662.352124</v>
      </c>
      <c r="L27" s="1" t="n">
        <v>643.698507</v>
      </c>
      <c r="M27" s="1" t="n">
        <v>622.709073</v>
      </c>
      <c r="N27" s="1" t="n">
        <v>573.637126</v>
      </c>
      <c r="O27" s="1" t="n">
        <v>563.597189</v>
      </c>
      <c r="P27" s="9" t="n">
        <f aca="false">P26</f>
        <v>555.682193565694</v>
      </c>
    </row>
    <row r="28" customFormat="false" ht="12.8" hidden="false" customHeight="false" outlineLevel="0" collapsed="false">
      <c r="A28" s="0" t="s">
        <v>117</v>
      </c>
      <c r="B28" s="1" t="s">
        <v>107</v>
      </c>
      <c r="C28" s="5" t="n">
        <f aca="false">1/3*(4*D28-E28)</f>
        <v>726.380748666667</v>
      </c>
      <c r="D28" s="1" t="n">
        <v>725.689477</v>
      </c>
      <c r="E28" s="1" t="n">
        <v>723.615662</v>
      </c>
      <c r="F28" s="1" t="n">
        <v>719.38639</v>
      </c>
      <c r="G28" s="1" t="n">
        <v>712.742686</v>
      </c>
      <c r="H28" s="1" t="n">
        <v>703.686021</v>
      </c>
      <c r="I28" s="1" t="n">
        <v>692.228438</v>
      </c>
      <c r="J28" s="1" t="n">
        <v>678.379115</v>
      </c>
      <c r="K28" s="1" t="n">
        <v>662.144332</v>
      </c>
      <c r="L28" s="1" t="n">
        <v>643.528328</v>
      </c>
      <c r="M28" s="1" t="n">
        <v>622.577906</v>
      </c>
      <c r="N28" s="1" t="n">
        <v>573.598828</v>
      </c>
      <c r="O28" s="1" t="n">
        <v>563.578366</v>
      </c>
      <c r="P28" s="9"/>
      <c r="R28" s="9"/>
    </row>
    <row r="29" customFormat="false" ht="12.8" hidden="false" customHeight="false" outlineLevel="0" collapsed="false">
      <c r="C29" s="4" t="s">
        <v>118</v>
      </c>
      <c r="P29" s="0" t="e">
        <f aca="false">D24/D5*N29</f>
        <v>#DIV/0!</v>
      </c>
    </row>
    <row r="30" customFormat="false" ht="12.8" hidden="false" customHeight="false" outlineLevel="0" collapsed="false">
      <c r="B30" s="1" t="s">
        <v>119</v>
      </c>
      <c r="C30" s="5" t="n">
        <f aca="false">(C25)*t_ft_m*100</f>
        <v>0</v>
      </c>
      <c r="D30" s="5" t="n">
        <f aca="false">(D25)*t_ft_m*100</f>
        <v>0.0304875671375521</v>
      </c>
      <c r="E30" s="5" t="n">
        <f aca="false">(E25)*t_ft_m*100</f>
        <v>0.068172272588155</v>
      </c>
      <c r="F30" s="5" t="n">
        <f aca="false">(F25)*t_ft_m*100</f>
        <v>0.109924486578595</v>
      </c>
      <c r="G30" s="5" t="n">
        <f aca="false">(G25)*t_ft_m*100</f>
        <v>0.15243783568776</v>
      </c>
      <c r="H30" s="5" t="n">
        <f aca="false">(H25)*t_ft_m*100</f>
        <v>0.195215680078821</v>
      </c>
      <c r="I30" s="5" t="n">
        <f aca="false">(I25)*t_ft_m*100</f>
        <v>0.238115511355248</v>
      </c>
      <c r="J30" s="5" t="n">
        <f aca="false">(J25)*t_ft_m*100</f>
        <v>0.281081480619363</v>
      </c>
      <c r="K30" s="5" t="n">
        <f aca="false">(K25)*t_ft_m*100</f>
        <v>0.324087284147715</v>
      </c>
      <c r="L30" s="5" t="n">
        <f aca="false">(L25)*t_ft_m*100</f>
        <v>0.367118923164112</v>
      </c>
      <c r="M30" s="5" t="n">
        <f aca="false">(M25)*t_ft_m*100</f>
        <v>0.409601343832022</v>
      </c>
      <c r="N30" s="5" t="n">
        <f aca="false">(N25)*t_ft_m*100</f>
        <v>0.418001371391078</v>
      </c>
      <c r="O30" s="5" t="n">
        <f aca="false">(O25)*t_ft_m*100</f>
        <v>0.475001558398949</v>
      </c>
      <c r="Q30" s="5"/>
      <c r="R30" s="3" t="s">
        <v>120</v>
      </c>
      <c r="S30" s="7"/>
      <c r="T30" s="1"/>
      <c r="U30" s="1"/>
      <c r="V30" s="1"/>
      <c r="W30" s="1"/>
      <c r="X30" s="1"/>
      <c r="Y30" s="1"/>
      <c r="Z30" s="1"/>
    </row>
    <row r="31" customFormat="false" ht="12.8" hidden="false" customHeight="false" outlineLevel="0" collapsed="false">
      <c r="A31" s="0" t="s">
        <v>121</v>
      </c>
      <c r="B31" s="1" t="s">
        <v>112</v>
      </c>
      <c r="C31" s="5" t="n">
        <f aca="false">q_dot*1000/(4*k_fuel)*((R_fuel/100)^2)*(1-(C30/R_fuel)^2)+delta_gap+delta_clad</f>
        <v>92.3834112916388</v>
      </c>
      <c r="D31" s="5" t="n">
        <f aca="false">q_dot*1000/(4*k_fuel)*((R_fuel/100)^2)*(1-(D30/R_fuel)^2)+delta_gap+delta_clad</f>
        <v>92.055444329608</v>
      </c>
      <c r="E31" s="5" t="n">
        <f aca="false">q_dot*1000/(4*k_fuel)*((R_fuel/100)^2)*(1-(E30/R_fuel)^2)+delta_gap+delta_clad</f>
        <v>90.7435764814846</v>
      </c>
      <c r="F31" s="5" t="n">
        <f aca="false">q_dot*1000/(4*k_fuel)*((R_fuel/100)^2)*(1-(F30/R_fuel)^2)+delta_gap+delta_clad</f>
        <v>88.1198407852378</v>
      </c>
      <c r="G31" s="5" t="n">
        <f aca="false">q_dot*1000/(4*k_fuel)*((R_fuel/100)^2)*(1-(G30/R_fuel)^2)+delta_gap+delta_clad</f>
        <v>84.1842372408676</v>
      </c>
      <c r="H31" s="5" t="n">
        <f aca="false">q_dot*1000/(4*k_fuel)*((R_fuel/100)^2)*(1-(H30/R_fuel)^2)+delta_gap+delta_clad</f>
        <v>78.936765848374</v>
      </c>
      <c r="I31" s="5" t="n">
        <f aca="false">q_dot*1000/(4*k_fuel)*((R_fuel/100)^2)*(1-(I30/R_fuel)^2)+delta_gap+delta_clad</f>
        <v>72.377426607757</v>
      </c>
      <c r="J31" s="5" t="n">
        <f aca="false">q_dot*1000/(4*k_fuel)*((R_fuel/100)^2)*(1-(J30/R_fuel)^2)+delta_gap+delta_clad</f>
        <v>64.5062195190166</v>
      </c>
      <c r="K31" s="5" t="n">
        <f aca="false">q_dot*1000/(4*k_fuel)*((R_fuel/100)^2)*(1-(K30/R_fuel)^2)+delta_gap+delta_clad</f>
        <v>55.3231445821529</v>
      </c>
      <c r="L31" s="5" t="n">
        <f aca="false">q_dot*1000/(4*k_fuel)*((R_fuel/100)^2)*(1-(L30/R_fuel)^2)+delta_gap+delta_clad</f>
        <v>44.8282017971659</v>
      </c>
      <c r="M31" s="5" t="n">
        <f aca="false">delta_gap+delta_clad</f>
        <v>33.1857630817195</v>
      </c>
      <c r="N31" s="5" t="n">
        <f aca="false">delta_clad</f>
        <v>5.81405867843346</v>
      </c>
      <c r="O31" s="5" t="n">
        <v>0</v>
      </c>
      <c r="P31" s="5" t="n">
        <f aca="false">-delta_fluid</f>
        <v>-3.96372848086904</v>
      </c>
      <c r="Q31" s="1" t="s">
        <v>105</v>
      </c>
      <c r="R31" s="6" t="n">
        <f aca="false">C32-C$31</f>
        <v>-1.90899814349064</v>
      </c>
      <c r="S31" s="6" t="n">
        <f aca="false">D32-D$31</f>
        <v>-1.96522544071905</v>
      </c>
      <c r="T31" s="6" t="n">
        <f aca="false">E32-E$31</f>
        <v>-1.80594037037345</v>
      </c>
      <c r="U31" s="6" t="n">
        <f aca="false">F32-F$31</f>
        <v>-1.53273578523775</v>
      </c>
      <c r="V31" s="6" t="n">
        <f aca="false">G32-G$31</f>
        <v>-1.28951835197867</v>
      </c>
      <c r="W31" s="6" t="n">
        <f aca="false">H32-H$31</f>
        <v>-1.07543195948509</v>
      </c>
      <c r="X31" s="6" t="n">
        <f aca="false">I32-I$31</f>
        <v>-0.883733829979192</v>
      </c>
      <c r="Y31" s="6" t="n">
        <f aca="false">J32-J$31</f>
        <v>-0.709262296794378</v>
      </c>
      <c r="Z31" s="6" t="n">
        <f aca="false">K32-K$31</f>
        <v>-0.548457359930652</v>
      </c>
      <c r="AA31" s="6" t="n">
        <f aca="false">L32-L$31</f>
        <v>-0.398887352721431</v>
      </c>
      <c r="AB31" s="6" t="n">
        <f aca="false">M32-M$31</f>
        <v>-0.398837526163909</v>
      </c>
      <c r="AC31" s="6" t="n">
        <f aca="false">N32-N$31</f>
        <v>-0.245505345100104</v>
      </c>
      <c r="AD31" s="6" t="n">
        <f aca="false">O32-O$31</f>
        <v>0</v>
      </c>
    </row>
    <row r="32" customFormat="false" ht="12.8" hidden="false" customHeight="false" outlineLevel="0" collapsed="false">
      <c r="A32" s="0" t="s">
        <v>121</v>
      </c>
      <c r="B32" s="1" t="s">
        <v>105</v>
      </c>
      <c r="C32" s="5" t="n">
        <f aca="false">(C26-$O26)*t_R_K</f>
        <v>90.4744131481482</v>
      </c>
      <c r="D32" s="5" t="n">
        <f aca="false">(D26-$O26)*t_R_K</f>
        <v>90.0902188888889</v>
      </c>
      <c r="E32" s="5" t="n">
        <f aca="false">(E26-$O26)*t_R_K</f>
        <v>88.9376361111111</v>
      </c>
      <c r="F32" s="5" t="n">
        <f aca="false">(F26-$O26)*t_R_K</f>
        <v>86.587105</v>
      </c>
      <c r="G32" s="5" t="n">
        <f aca="false">(G26-$O26)*t_R_K</f>
        <v>82.8947188888889</v>
      </c>
      <c r="H32" s="5" t="n">
        <f aca="false">(H26-$O26)*t_R_K</f>
        <v>77.8613338888889</v>
      </c>
      <c r="I32" s="5" t="n">
        <f aca="false">(I26-$O26)*t_R_K</f>
        <v>71.4936927777778</v>
      </c>
      <c r="J32" s="5" t="n">
        <f aca="false">(J26-$O26)*t_R_K</f>
        <v>63.7969572222222</v>
      </c>
      <c r="K32" s="5" t="n">
        <f aca="false">(K26-$O26)*t_R_K</f>
        <v>54.7746872222222</v>
      </c>
      <c r="L32" s="5" t="n">
        <f aca="false">(L26-$O26)*t_R_K</f>
        <v>44.4293144444444</v>
      </c>
      <c r="M32" s="5" t="n">
        <f aca="false">(M26-$O26)*t_R_K</f>
        <v>32.7869255555556</v>
      </c>
      <c r="N32" s="5" t="n">
        <f aca="false">(N26-$O26)*t_R_K</f>
        <v>5.56855333333336</v>
      </c>
      <c r="O32" s="5" t="n">
        <f aca="false">(O26-$O26)*t_R_K</f>
        <v>0</v>
      </c>
      <c r="P32" s="5" t="n">
        <f aca="false">(P25-$O26)*t_R_K</f>
        <v>-4.38833468572556</v>
      </c>
      <c r="Q32" s="1" t="s">
        <v>106</v>
      </c>
      <c r="R32" s="6" t="n">
        <f aca="false">C33-C$31</f>
        <v>-1.74752258793507</v>
      </c>
      <c r="S32" s="6" t="n">
        <f aca="false">D33-D$31</f>
        <v>-1.80462155183017</v>
      </c>
      <c r="T32" s="6" t="n">
        <f aca="false">E33-E$31</f>
        <v>-1.64795148148453</v>
      </c>
      <c r="U32" s="6" t="n">
        <f aca="false">F33-F$31</f>
        <v>-1.38001800745997</v>
      </c>
      <c r="V32" s="6" t="n">
        <f aca="false">G33-G$31</f>
        <v>-1.14491279642309</v>
      </c>
      <c r="W32" s="6" t="n">
        <f aca="false">H33-H$31</f>
        <v>-0.941563070596146</v>
      </c>
      <c r="X32" s="6" t="n">
        <f aca="false">I33-I$31</f>
        <v>-0.762926607756981</v>
      </c>
      <c r="Y32" s="6" t="n">
        <f aca="false">J33-J$31</f>
        <v>-0.603489519016549</v>
      </c>
      <c r="Z32" s="6" t="n">
        <f aca="false">K33-K$31</f>
        <v>-0.459291804375049</v>
      </c>
      <c r="AA32" s="6" t="n">
        <f aca="false">L33-L$31</f>
        <v>-0.327469574943649</v>
      </c>
      <c r="AB32" s="6" t="n">
        <f aca="false">M33-M$31</f>
        <v>-0.345827526163909</v>
      </c>
      <c r="AC32" s="6" t="n">
        <f aca="false">N33-N$31</f>
        <v>-0.236315900655681</v>
      </c>
      <c r="AD32" s="6" t="n">
        <f aca="false">O33-O$31</f>
        <v>0</v>
      </c>
    </row>
    <row r="33" customFormat="false" ht="12.8" hidden="false" customHeight="false" outlineLevel="0" collapsed="false">
      <c r="A33" s="0" t="s">
        <v>121</v>
      </c>
      <c r="B33" s="1" t="s">
        <v>106</v>
      </c>
      <c r="C33" s="5" t="n">
        <f aca="false">(C27-$O27)*t_R_K</f>
        <v>90.6358887037038</v>
      </c>
      <c r="D33" s="5" t="n">
        <f aca="false">(D27-$O27)*t_R_K</f>
        <v>90.2508227777778</v>
      </c>
      <c r="E33" s="5" t="n">
        <f aca="false">(E27-$O27)*t_R_K</f>
        <v>89.0956250000001</v>
      </c>
      <c r="F33" s="5" t="n">
        <f aca="false">(F27-$O27)*t_R_K</f>
        <v>86.7398227777778</v>
      </c>
      <c r="G33" s="5" t="n">
        <f aca="false">(G27-$O27)*t_R_K</f>
        <v>83.0393244444445</v>
      </c>
      <c r="H33" s="5" t="n">
        <f aca="false">(H27-$O27)*t_R_K</f>
        <v>77.9952027777778</v>
      </c>
      <c r="I33" s="5" t="n">
        <f aca="false">(I27-$O27)*t_R_K</f>
        <v>71.6145</v>
      </c>
      <c r="J33" s="5" t="n">
        <f aca="false">(J27-$O27)*t_R_K</f>
        <v>63.9027300000001</v>
      </c>
      <c r="K33" s="5" t="n">
        <f aca="false">(K27-$O27)*t_R_K</f>
        <v>54.8638527777778</v>
      </c>
      <c r="L33" s="5" t="n">
        <f aca="false">(L27-$O27)*t_R_K</f>
        <v>44.5007322222222</v>
      </c>
      <c r="M33" s="5" t="n">
        <f aca="false">(M27-$O27)*t_R_K</f>
        <v>32.8399355555556</v>
      </c>
      <c r="N33" s="5" t="n">
        <f aca="false">(N27-$O27)*t_R_K</f>
        <v>5.57774277777778</v>
      </c>
      <c r="O33" s="5" t="n">
        <f aca="false">(O27-$O27)*t_R_K</f>
        <v>0</v>
      </c>
      <c r="P33" s="5" t="n">
        <f aca="false">(P26-$O27)*t_R_K</f>
        <v>-4.39721968572554</v>
      </c>
      <c r="Q33" s="1" t="s">
        <v>107</v>
      </c>
      <c r="R33" s="6" t="n">
        <f aca="false">C34-C$31</f>
        <v>-1.93764314349069</v>
      </c>
      <c r="S33" s="6" t="n">
        <f aca="false">D34-D$31</f>
        <v>-1.99371599627462</v>
      </c>
      <c r="T33" s="6" t="n">
        <f aca="false">E34-E$31</f>
        <v>-1.83396759259564</v>
      </c>
      <c r="U33" s="6" t="n">
        <f aca="false">F34-F$31</f>
        <v>-1.55982745190443</v>
      </c>
      <c r="V33" s="6" t="n">
        <f aca="false">G34-G$31</f>
        <v>-1.31517057420086</v>
      </c>
      <c r="W33" s="6" t="n">
        <f aca="false">H34-H$31</f>
        <v>-1.09917973726284</v>
      </c>
      <c r="X33" s="6" t="n">
        <f aca="false">I34-I$31</f>
        <v>-0.905164385534761</v>
      </c>
      <c r="Y33" s="6" t="n">
        <f aca="false">J34-J$31</f>
        <v>-0.728025630127704</v>
      </c>
      <c r="Z33" s="6" t="n">
        <f aca="false">K34-K$31</f>
        <v>-0.564274582152855</v>
      </c>
      <c r="AA33" s="6" t="n">
        <f aca="false">L34-L$31</f>
        <v>-0.411556241610292</v>
      </c>
      <c r="AB33" s="6" t="n">
        <f aca="false">M34-M$31</f>
        <v>-0.408240859497248</v>
      </c>
      <c r="AC33" s="6" t="n">
        <f aca="false">N34-N$31</f>
        <v>-0.247135345100094</v>
      </c>
      <c r="AD33" s="6" t="n">
        <f aca="false">O34-O$31</f>
        <v>0</v>
      </c>
    </row>
    <row r="34" customFormat="false" ht="12.8" hidden="false" customHeight="false" outlineLevel="0" collapsed="false">
      <c r="A34" s="0" t="s">
        <v>121</v>
      </c>
      <c r="B34" s="1" t="s">
        <v>107</v>
      </c>
      <c r="C34" s="5" t="n">
        <f aca="false">(C28-$O28)*t_R_K</f>
        <v>90.4457681481481</v>
      </c>
      <c r="D34" s="5" t="n">
        <f aca="false">(D28-$O28)*t_R_K</f>
        <v>90.0617283333334</v>
      </c>
      <c r="E34" s="5" t="n">
        <f aca="false">(E28-$O28)*t_R_K</f>
        <v>88.909608888889</v>
      </c>
      <c r="F34" s="5" t="n">
        <f aca="false">(F28-$O28)*t_R_K</f>
        <v>86.5600133333334</v>
      </c>
      <c r="G34" s="5" t="n">
        <f aca="false">(G28-$O28)*t_R_K</f>
        <v>82.8690666666667</v>
      </c>
      <c r="H34" s="5" t="n">
        <f aca="false">(H28-$O28)*t_R_K</f>
        <v>77.8375861111111</v>
      </c>
      <c r="I34" s="5" t="n">
        <f aca="false">(I28-$O28)*t_R_K</f>
        <v>71.4722622222222</v>
      </c>
      <c r="J34" s="5" t="n">
        <f aca="false">(J28-$O28)*t_R_K</f>
        <v>63.7781938888889</v>
      </c>
      <c r="K34" s="5" t="n">
        <f aca="false">(K28-$O28)*t_R_K</f>
        <v>54.75887</v>
      </c>
      <c r="L34" s="5" t="n">
        <f aca="false">(L28-$O28)*t_R_K</f>
        <v>44.4166455555556</v>
      </c>
      <c r="M34" s="5" t="n">
        <f aca="false">(M28-$O28)*t_R_K</f>
        <v>32.7775222222222</v>
      </c>
      <c r="N34" s="5" t="n">
        <f aca="false">(N28-$O28)*t_R_K</f>
        <v>5.56692333333337</v>
      </c>
      <c r="O34" s="5" t="n">
        <f aca="false">(O28-$O28)*t_R_K</f>
        <v>0</v>
      </c>
      <c r="P34" s="5" t="n">
        <f aca="false">(P27-$O28)*t_R_K</f>
        <v>-4.38676246350332</v>
      </c>
    </row>
    <row r="35" customFormat="false" ht="12.8" hidden="false" customHeight="false" outlineLevel="0" collapsed="false"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customFormat="false" ht="12.8" hidden="false" customHeight="false" outlineLevel="0" collapsed="false">
      <c r="C36" s="4" t="s">
        <v>122</v>
      </c>
    </row>
    <row r="37" customFormat="false" ht="12.8" hidden="false" customHeight="false" outlineLevel="0" collapsed="false">
      <c r="B37" s="1" t="s">
        <v>119</v>
      </c>
      <c r="C37" s="7" t="n">
        <f aca="false">(C25)*t_ft_m*100</f>
        <v>0</v>
      </c>
      <c r="D37" s="7" t="n">
        <f aca="false">(D25)*t_ft_m*100</f>
        <v>0.0304875671375521</v>
      </c>
      <c r="E37" s="7" t="n">
        <f aca="false">(E25)*t_ft_m*100</f>
        <v>0.068172272588155</v>
      </c>
      <c r="F37" s="7" t="n">
        <f aca="false">(F25)*t_ft_m*100</f>
        <v>0.109924486578595</v>
      </c>
      <c r="G37" s="7" t="n">
        <f aca="false">(G25)*t_ft_m*100</f>
        <v>0.15243783568776</v>
      </c>
      <c r="H37" s="7" t="n">
        <f aca="false">(H25)*t_ft_m*100</f>
        <v>0.195215680078821</v>
      </c>
      <c r="I37" s="7" t="n">
        <f aca="false">(I25)*t_ft_m*100</f>
        <v>0.238115511355248</v>
      </c>
      <c r="J37" s="7" t="n">
        <f aca="false">(J25)*t_ft_m*100</f>
        <v>0.281081480619363</v>
      </c>
      <c r="K37" s="7" t="n">
        <f aca="false">(K25)*t_ft_m*100</f>
        <v>0.324087284147715</v>
      </c>
      <c r="L37" s="7" t="n">
        <f aca="false">(L25)*t_ft_m*100</f>
        <v>0.367118923164112</v>
      </c>
      <c r="M37" s="7" t="n">
        <f aca="false">(M25)*t_ft_m*100</f>
        <v>0.409601343832022</v>
      </c>
      <c r="N37" s="7" t="n">
        <f aca="false">(N25)*t_ft_m*100</f>
        <v>0.418001371391078</v>
      </c>
      <c r="O37" s="7" t="n">
        <f aca="false">(O25)*t_ft_m*100</f>
        <v>0.475001558398949</v>
      </c>
      <c r="P37" s="7"/>
    </row>
    <row r="38" customFormat="false" ht="12.8" hidden="false" customHeight="false" outlineLevel="0" collapsed="false">
      <c r="A38" s="0" t="s">
        <v>121</v>
      </c>
      <c r="B38" s="1" t="s">
        <v>112</v>
      </c>
      <c r="C38" s="5" t="n">
        <f aca="false">C31+$P38-$P31</f>
        <v>387.281691753449</v>
      </c>
      <c r="D38" s="5" t="n">
        <f aca="false">D31+$P38-$P31</f>
        <v>386.953724791418</v>
      </c>
      <c r="E38" s="5" t="n">
        <f aca="false">E31+$P38-$P31</f>
        <v>385.641856943295</v>
      </c>
      <c r="F38" s="5" t="n">
        <f aca="false">F31+$P38-$P31</f>
        <v>383.018121247048</v>
      </c>
      <c r="G38" s="5" t="n">
        <f aca="false">G31+$P38-$P31</f>
        <v>379.082517702678</v>
      </c>
      <c r="H38" s="5" t="n">
        <f aca="false">H31+$P38-$P31</f>
        <v>373.835046310184</v>
      </c>
      <c r="I38" s="5" t="n">
        <f aca="false">I31+$P38-$P31</f>
        <v>367.275707069567</v>
      </c>
      <c r="J38" s="5" t="n">
        <f aca="false">J31+$P38-$P31</f>
        <v>359.404499980827</v>
      </c>
      <c r="K38" s="5" t="n">
        <f aca="false">K31+$P38-$P31</f>
        <v>350.221425043963</v>
      </c>
      <c r="L38" s="5" t="n">
        <f aca="false">L31+$P38-$P31</f>
        <v>339.726482258976</v>
      </c>
      <c r="M38" s="5" t="n">
        <f aca="false">M31+$P38-$P31</f>
        <v>328.08404354353</v>
      </c>
      <c r="N38" s="5" t="n">
        <f aca="false">N31+$P38-$P31</f>
        <v>300.712339140244</v>
      </c>
      <c r="O38" s="5" t="n">
        <f aca="false">O31+$P38-$P31</f>
        <v>294.89828046181</v>
      </c>
      <c r="P38" s="5" t="n">
        <f aca="false">5/9*(P24-32)</f>
        <v>290.934551980941</v>
      </c>
      <c r="Q38" s="5"/>
      <c r="R38" s="3" t="s">
        <v>123</v>
      </c>
      <c r="S38" s="7"/>
      <c r="T38" s="1"/>
      <c r="U38" s="1"/>
      <c r="V38" s="1"/>
      <c r="W38" s="1"/>
      <c r="X38" s="1"/>
      <c r="Y38" s="1"/>
      <c r="Z38" s="1"/>
    </row>
    <row r="39" customFormat="false" ht="12.8" hidden="false" customHeight="false" outlineLevel="0" collapsed="false">
      <c r="A39" s="0" t="s">
        <v>121</v>
      </c>
      <c r="B39" s="1" t="s">
        <v>105</v>
      </c>
      <c r="C39" s="5" t="n">
        <f aca="false">C32+$P39-$P32</f>
        <v>385.797299814815</v>
      </c>
      <c r="D39" s="5" t="n">
        <f aca="false">D32+$P39-$P32</f>
        <v>385.413105555556</v>
      </c>
      <c r="E39" s="5" t="n">
        <f aca="false">E32+$P39-$P32</f>
        <v>384.260522777778</v>
      </c>
      <c r="F39" s="5" t="n">
        <f aca="false">F32+$P39-$P32</f>
        <v>381.909991666667</v>
      </c>
      <c r="G39" s="5" t="n">
        <f aca="false">G32+$P39-$P32</f>
        <v>378.217605555556</v>
      </c>
      <c r="H39" s="5" t="n">
        <f aca="false">H32+$P39-$P32</f>
        <v>373.184220555556</v>
      </c>
      <c r="I39" s="5" t="n">
        <f aca="false">I32+$P39-$P32</f>
        <v>366.816579444445</v>
      </c>
      <c r="J39" s="5" t="n">
        <f aca="false">J32+$P39-$P32</f>
        <v>359.119843888889</v>
      </c>
      <c r="K39" s="5" t="n">
        <f aca="false">K32+$P39-$P32</f>
        <v>350.097573888889</v>
      </c>
      <c r="L39" s="5" t="n">
        <f aca="false">L32+$P39-$P32</f>
        <v>339.752201111111</v>
      </c>
      <c r="M39" s="5" t="n">
        <f aca="false">M32+$P39-$P32</f>
        <v>328.109812222222</v>
      </c>
      <c r="N39" s="5" t="n">
        <f aca="false">N32+$P39-$P32</f>
        <v>300.89144</v>
      </c>
      <c r="O39" s="5" t="n">
        <f aca="false">O32+$P39-$P32</f>
        <v>295.322886666667</v>
      </c>
      <c r="P39" s="5" t="n">
        <f aca="false">5/9*(P25-32)</f>
        <v>290.934551980941</v>
      </c>
      <c r="Q39" s="1" t="s">
        <v>105</v>
      </c>
      <c r="R39" s="19" t="n">
        <f aca="false">(C39-C$38)/C$38</f>
        <v>-0.0038328482090476</v>
      </c>
      <c r="S39" s="19" t="n">
        <f aca="false">(D39-D$38)/D$38</f>
        <v>-0.00398140433121055</v>
      </c>
      <c r="T39" s="19" t="n">
        <f aca="false">(E39-E$38)/E$38</f>
        <v>-0.00358190933024173</v>
      </c>
      <c r="U39" s="19" t="n">
        <f aca="false">(F39-F$38)/F$38</f>
        <v>-0.00289315183514899</v>
      </c>
      <c r="V39" s="19" t="n">
        <f aca="false">(G39-G$38)/G$38</f>
        <v>-0.00228159333847336</v>
      </c>
      <c r="W39" s="19" t="n">
        <f aca="false">(H39-H$38)/H$38</f>
        <v>-0.00174094366232465</v>
      </c>
      <c r="X39" s="19" t="n">
        <f aca="false">(I39-I$38)/I$38</f>
        <v>-0.00125008982702935</v>
      </c>
      <c r="Y39" s="19" t="n">
        <f aca="false">(J39-J$38)/J$38</f>
        <v>-0.000792021502104425</v>
      </c>
      <c r="Z39" s="19" t="n">
        <f aca="false">(K39-K$38)/K$38</f>
        <v>-0.000353636717281326</v>
      </c>
      <c r="AA39" s="19" t="n">
        <f aca="false">(L39-L$38)/L$38</f>
        <v>7.5704584358736E-005</v>
      </c>
      <c r="AB39" s="19" t="n">
        <f aca="false">(M39-M$38)/M$38</f>
        <v>7.85429197174022E-005</v>
      </c>
      <c r="AC39" s="19" t="n">
        <f aca="false">(N39-N$38)/N$38</f>
        <v>0.000595588662136165</v>
      </c>
      <c r="AD39" s="19" t="n">
        <f aca="false">(O39-O$38)/O$38</f>
        <v>0.00143983954125324</v>
      </c>
    </row>
    <row r="40" customFormat="false" ht="12.8" hidden="false" customHeight="false" outlineLevel="0" collapsed="false">
      <c r="A40" s="0" t="s">
        <v>121</v>
      </c>
      <c r="B40" s="1" t="s">
        <v>106</v>
      </c>
      <c r="C40" s="5" t="n">
        <f aca="false">C33+$P40-$P33</f>
        <v>385.96766037037</v>
      </c>
      <c r="D40" s="5" t="n">
        <f aca="false">D33+$P40-$P33</f>
        <v>385.582594444444</v>
      </c>
      <c r="E40" s="5" t="n">
        <f aca="false">E33+$P40-$P33</f>
        <v>384.427396666667</v>
      </c>
      <c r="F40" s="5" t="n">
        <f aca="false">F33+$P40-$P33</f>
        <v>382.071594444444</v>
      </c>
      <c r="G40" s="5" t="n">
        <f aca="false">G33+$P40-$P33</f>
        <v>378.371096111111</v>
      </c>
      <c r="H40" s="5" t="n">
        <f aca="false">H33+$P40-$P33</f>
        <v>373.326974444444</v>
      </c>
      <c r="I40" s="5" t="n">
        <f aca="false">I33+$P40-$P33</f>
        <v>366.946271666667</v>
      </c>
      <c r="J40" s="5" t="n">
        <f aca="false">J33+$P40-$P33</f>
        <v>359.234501666667</v>
      </c>
      <c r="K40" s="5" t="n">
        <f aca="false">K33+$P40-$P33</f>
        <v>350.195624444444</v>
      </c>
      <c r="L40" s="5" t="n">
        <f aca="false">L33+$P40-$P33</f>
        <v>339.832503888889</v>
      </c>
      <c r="M40" s="5" t="n">
        <f aca="false">M33+$P40-$P33</f>
        <v>328.171707222222</v>
      </c>
      <c r="N40" s="5" t="n">
        <f aca="false">N33+$P40-$P33</f>
        <v>300.909514444444</v>
      </c>
      <c r="O40" s="5" t="n">
        <f aca="false">O33+$P40-$P33</f>
        <v>295.331771666667</v>
      </c>
      <c r="P40" s="5" t="n">
        <f aca="false">5/9*(P26-32)</f>
        <v>290.934551980941</v>
      </c>
      <c r="Q40" s="1" t="s">
        <v>106</v>
      </c>
      <c r="R40" s="19" t="n">
        <f aca="false">(C40-C$38)/C$38</f>
        <v>-0.00339296024330305</v>
      </c>
      <c r="S40" s="19" t="n">
        <f aca="false">(D40-D$38)/D$38</f>
        <v>-0.00354339617150047</v>
      </c>
      <c r="T40" s="19" t="n">
        <f aca="false">(E40-E$38)/E$38</f>
        <v>-0.00314919206710139</v>
      </c>
      <c r="U40" s="19" t="n">
        <f aca="false">(F40-F$38)/F$38</f>
        <v>-0.00247123243026141</v>
      </c>
      <c r="V40" s="19" t="n">
        <f aca="false">(G40-G$38)/G$38</f>
        <v>-0.00187669322204031</v>
      </c>
      <c r="W40" s="19" t="n">
        <f aca="false">(H40-H$38)/H$38</f>
        <v>-0.0013590803504231</v>
      </c>
      <c r="X40" s="19" t="n">
        <f aca="false">(I40-I$38)/I$38</f>
        <v>-0.000896970304758314</v>
      </c>
      <c r="Y40" s="19" t="n">
        <f aca="false">(J40-J$38)/J$38</f>
        <v>-0.000472999960126248</v>
      </c>
      <c r="Z40" s="19" t="n">
        <f aca="false">(K40-K$38)/K$38</f>
        <v>-7.36693922004416E-005</v>
      </c>
      <c r="AA40" s="19" t="n">
        <f aca="false">(L40-L$38)/L$38</f>
        <v>0.000312079379881747</v>
      </c>
      <c r="AB40" s="19" t="n">
        <f aca="false">(M40-M$38)/M$38</f>
        <v>0.000267198848641847</v>
      </c>
      <c r="AC40" s="19" t="n">
        <f aca="false">(N40-N$38)/N$38</f>
        <v>0.00065569409211638</v>
      </c>
      <c r="AD40" s="19" t="n">
        <f aca="false">(O40-O$38)/O$38</f>
        <v>0.00146996857417283</v>
      </c>
    </row>
    <row r="41" customFormat="false" ht="12.8" hidden="false" customHeight="false" outlineLevel="0" collapsed="false">
      <c r="A41" s="0" t="s">
        <v>121</v>
      </c>
      <c r="B41" s="1" t="s">
        <v>107</v>
      </c>
      <c r="C41" s="5" t="n">
        <f aca="false">C34+$P41-$P34</f>
        <v>385.767082592593</v>
      </c>
      <c r="D41" s="5" t="n">
        <f aca="false">D34+$P41-$P34</f>
        <v>385.383042777778</v>
      </c>
      <c r="E41" s="5" t="n">
        <f aca="false">E34+$P41-$P34</f>
        <v>384.230923333333</v>
      </c>
      <c r="F41" s="5" t="n">
        <f aca="false">F34+$P41-$P34</f>
        <v>381.881327777778</v>
      </c>
      <c r="G41" s="5" t="n">
        <f aca="false">G34+$P41-$P34</f>
        <v>378.190381111111</v>
      </c>
      <c r="H41" s="5" t="n">
        <f aca="false">H34+$P41-$P34</f>
        <v>373.158900555556</v>
      </c>
      <c r="I41" s="5" t="n">
        <f aca="false">I34+$P41-$P34</f>
        <v>366.793576666667</v>
      </c>
      <c r="J41" s="5" t="n">
        <f aca="false">J34+$P41-$P34</f>
        <v>359.099508333333</v>
      </c>
      <c r="K41" s="5" t="n">
        <f aca="false">K34+$P41-$P34</f>
        <v>350.080184444444</v>
      </c>
      <c r="L41" s="5" t="n">
        <f aca="false">L34+$P41-$P34</f>
        <v>339.73796</v>
      </c>
      <c r="M41" s="5" t="n">
        <f aca="false">M34+$P41-$P34</f>
        <v>328.098836666667</v>
      </c>
      <c r="N41" s="5" t="n">
        <f aca="false">N34+$P41-$P34</f>
        <v>300.888237777778</v>
      </c>
      <c r="O41" s="5" t="n">
        <f aca="false">O34+$P41-$P34</f>
        <v>295.321314444444</v>
      </c>
      <c r="P41" s="5" t="n">
        <f aca="false">5/9*(P27-32)</f>
        <v>290.934551980941</v>
      </c>
      <c r="Q41" s="1" t="s">
        <v>107</v>
      </c>
      <c r="R41" s="19" t="n">
        <f aca="false">(C41-C$38)/C$38</f>
        <v>-0.00391087209415686</v>
      </c>
      <c r="S41" s="19" t="n">
        <f aca="false">(D41-D$38)/D$38</f>
        <v>-0.0040590952173598</v>
      </c>
      <c r="T41" s="19" t="n">
        <f aca="false">(E41-E$38)/E$38</f>
        <v>-0.00365866304333464</v>
      </c>
      <c r="U41" s="19" t="n">
        <f aca="false">(F41-F$38)/F$38</f>
        <v>-0.00296798873528216</v>
      </c>
      <c r="V41" s="19" t="n">
        <f aca="false">(G41-G$38)/G$38</f>
        <v>-0.00235341000944358</v>
      </c>
      <c r="W41" s="19" t="n">
        <f aca="false">(H41-H$38)/H$38</f>
        <v>-0.00180867406975952</v>
      </c>
      <c r="X41" s="19" t="n">
        <f aca="false">(I41-I$38)/I$38</f>
        <v>-0.00131272064451893</v>
      </c>
      <c r="Y41" s="19" t="n">
        <f aca="false">(J41-J$38)/J$38</f>
        <v>-0.00084860275124473</v>
      </c>
      <c r="Z41" s="19" t="n">
        <f aca="false">(K41-K$38)/K$38</f>
        <v>-0.000403289431824071</v>
      </c>
      <c r="AA41" s="19" t="n">
        <f aca="false">(L41-L$38)/L$38</f>
        <v>3.37852408432588E-005</v>
      </c>
      <c r="AB41" s="19" t="n">
        <f aca="false">(M41-M$38)/M$38</f>
        <v>4.5089431894404E-005</v>
      </c>
      <c r="AC41" s="19" t="n">
        <f aca="false">(N41-N$38)/N$38</f>
        <v>0.000584939873225862</v>
      </c>
      <c r="AD41" s="19" t="n">
        <f aca="false">(O41-O$38)/O$38</f>
        <v>0.0014345081360657</v>
      </c>
    </row>
    <row r="42" customFormat="false" ht="12.8" hidden="false" customHeight="false" outlineLevel="0" collapsed="false">
      <c r="Q42" s="1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5" customFormat="false" ht="12.8" hidden="false" customHeight="false" outlineLevel="0" collapsed="false">
      <c r="C45" s="1"/>
      <c r="D45" s="1" t="s">
        <v>124</v>
      </c>
    </row>
    <row r="46" customFormat="false" ht="12.8" hidden="false" customHeight="false" outlineLevel="0" collapsed="false">
      <c r="B46" s="5"/>
      <c r="C46" s="5"/>
      <c r="D46" s="17" t="n">
        <v>725.74359</v>
      </c>
      <c r="E46" s="5" t="n">
        <v>723.668941</v>
      </c>
      <c r="F46" s="5" t="n">
        <v>719.437985</v>
      </c>
      <c r="G46" s="5" t="n">
        <v>712.79169</v>
      </c>
      <c r="H46" s="5" t="n">
        <v>703.731597</v>
      </c>
      <c r="I46" s="5" t="n">
        <v>692.269843</v>
      </c>
      <c r="J46" s="5" t="n">
        <v>678.415719</v>
      </c>
      <c r="K46" s="5" t="n">
        <v>662.175633</v>
      </c>
      <c r="L46" s="5" t="n">
        <v>643.553962</v>
      </c>
      <c r="M46" s="5" t="n">
        <v>622.597662</v>
      </c>
      <c r="N46" s="5" t="n">
        <v>573.604592</v>
      </c>
      <c r="O46" s="5" t="n">
        <v>563.581196</v>
      </c>
      <c r="P46" s="5"/>
    </row>
    <row r="47" customFormat="false" ht="12.8" hidden="false" customHeight="false" outlineLevel="0" collapsed="false">
      <c r="A47" s="5"/>
      <c r="D47" s="18" t="n">
        <v>726.04867</v>
      </c>
      <c r="E47" s="0" t="n">
        <v>723.969314</v>
      </c>
      <c r="F47" s="0" t="n">
        <v>719.72887</v>
      </c>
      <c r="G47" s="0" t="n">
        <v>713.067973</v>
      </c>
      <c r="H47" s="0" t="n">
        <v>703.988554</v>
      </c>
      <c r="I47" s="0" t="n">
        <v>692.503289</v>
      </c>
      <c r="J47" s="0" t="n">
        <v>678.622103</v>
      </c>
      <c r="K47" s="0" t="n">
        <v>662.352124</v>
      </c>
      <c r="L47" s="0" t="n">
        <v>643.698507</v>
      </c>
      <c r="M47" s="0" t="n">
        <v>622.709073</v>
      </c>
      <c r="N47" s="0" t="n">
        <v>573.637126</v>
      </c>
      <c r="O47" s="0" t="n">
        <v>563.597189</v>
      </c>
    </row>
    <row r="48" customFormat="false" ht="12.8" hidden="false" customHeight="false" outlineLevel="0" collapsed="false">
      <c r="D48" s="0" t="n">
        <v>725.689477</v>
      </c>
      <c r="E48" s="0" t="n">
        <v>723.615662</v>
      </c>
      <c r="F48" s="0" t="n">
        <v>719.38639</v>
      </c>
      <c r="G48" s="0" t="n">
        <v>712.742686</v>
      </c>
      <c r="H48" s="0" t="n">
        <v>703.686021</v>
      </c>
      <c r="I48" s="0" t="n">
        <v>692.228438</v>
      </c>
      <c r="J48" s="0" t="n">
        <v>678.379115</v>
      </c>
      <c r="K48" s="0" t="n">
        <v>662.144332</v>
      </c>
      <c r="L48" s="0" t="n">
        <v>643.528328</v>
      </c>
      <c r="M48" s="0" t="n">
        <v>622.577906</v>
      </c>
      <c r="N48" s="0" t="n">
        <v>573.598828</v>
      </c>
      <c r="O48" s="0" t="n">
        <v>563.578366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8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90" zoomScaleNormal="90" zoomScalePageLayoutView="100" workbookViewId="0">
      <selection pane="topLeft" activeCell="Z32" activeCellId="0" sqref="Z32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B1" s="13" t="s">
        <v>97</v>
      </c>
      <c r="C1" s="13"/>
      <c r="D1" s="13"/>
      <c r="E1" s="13"/>
    </row>
    <row r="2" customFormat="false" ht="12.8" hidden="false" customHeight="false" outlineLevel="0" collapsed="false">
      <c r="B2" s="13"/>
      <c r="C2" s="13"/>
      <c r="D2" s="13"/>
      <c r="E2" s="13"/>
    </row>
    <row r="4" customFormat="false" ht="12.8" hidden="false" customHeight="false" outlineLevel="0" collapsed="false">
      <c r="B4" s="0" t="s">
        <v>98</v>
      </c>
    </row>
    <row r="6" customFormat="false" ht="12.8" hidden="false" customHeight="false" outlineLevel="0" collapsed="false">
      <c r="B6" s="4" t="s">
        <v>99</v>
      </c>
    </row>
    <row r="7" customFormat="false" ht="12.8" hidden="false" customHeight="false" outlineLevel="0" collapsed="false">
      <c r="C7" s="0" t="s">
        <v>100</v>
      </c>
      <c r="D7" s="0" t="s">
        <v>101</v>
      </c>
      <c r="E7" s="0" t="s">
        <v>101</v>
      </c>
    </row>
    <row r="8" customFormat="false" ht="12.8" hidden="false" customHeight="false" outlineLevel="0" collapsed="false">
      <c r="C8" s="0" t="s">
        <v>102</v>
      </c>
      <c r="D8" s="0" t="s">
        <v>103</v>
      </c>
      <c r="E8" s="0" t="s">
        <v>82</v>
      </c>
    </row>
    <row r="9" customFormat="false" ht="12.8" hidden="false" customHeight="false" outlineLevel="0" collapsed="false">
      <c r="B9" s="1" t="s">
        <v>104</v>
      </c>
      <c r="C9" s="7" t="n">
        <v>0.661386</v>
      </c>
      <c r="D9" s="1" t="n">
        <v>554.232258064516</v>
      </c>
      <c r="E9" s="1" t="n">
        <f aca="false">2.326*D9</f>
        <v>1289.14423225806</v>
      </c>
    </row>
    <row r="10" customFormat="false" ht="12.8" hidden="false" customHeight="false" outlineLevel="0" collapsed="false">
      <c r="B10" s="1" t="s">
        <v>105</v>
      </c>
      <c r="C10" s="7" t="n">
        <v>0.661395386741239</v>
      </c>
      <c r="D10" s="1" t="n">
        <v>575.580420883286</v>
      </c>
      <c r="E10" s="1" t="n">
        <f aca="false">2.326*D10</f>
        <v>1338.80005897452</v>
      </c>
    </row>
    <row r="11" customFormat="false" ht="12.8" hidden="false" customHeight="false" outlineLevel="0" collapsed="false">
      <c r="B11" s="1" t="s">
        <v>106</v>
      </c>
      <c r="C11" s="1" t="n">
        <f aca="false">C10</f>
        <v>0.661395386741239</v>
      </c>
      <c r="D11" s="1" t="n">
        <v>575.545450973847</v>
      </c>
      <c r="E11" s="1" t="n">
        <f aca="false">2.326*D11</f>
        <v>1338.71871896517</v>
      </c>
    </row>
    <row r="12" customFormat="false" ht="12.8" hidden="false" customHeight="false" outlineLevel="0" collapsed="false">
      <c r="B12" s="1" t="s">
        <v>107</v>
      </c>
      <c r="C12" s="1" t="n">
        <f aca="false">C11</f>
        <v>0.661395386741239</v>
      </c>
      <c r="D12" s="1" t="n">
        <v>575.357670786608</v>
      </c>
      <c r="E12" s="1" t="n">
        <f aca="false">2.326*D12</f>
        <v>1338.28194224965</v>
      </c>
    </row>
    <row r="16" customFormat="false" ht="12.8" hidden="false" customHeight="false" outlineLevel="0" collapsed="false">
      <c r="B16" s="4" t="s">
        <v>108</v>
      </c>
    </row>
    <row r="17" customFormat="false" ht="12.8" hidden="false" customHeight="false" outlineLevel="0" collapsed="false">
      <c r="B17" s="1"/>
      <c r="C17" s="1" t="s">
        <v>109</v>
      </c>
      <c r="D17" s="1" t="s">
        <v>110</v>
      </c>
      <c r="E17" s="1" t="s">
        <v>111</v>
      </c>
    </row>
    <row r="18" customFormat="false" ht="12.8" hidden="false" customHeight="false" outlineLevel="0" collapsed="false">
      <c r="B18" s="1"/>
      <c r="C18" s="1" t="s">
        <v>82</v>
      </c>
      <c r="D18" s="1" t="s">
        <v>62</v>
      </c>
      <c r="E18" s="1" t="s">
        <v>60</v>
      </c>
    </row>
    <row r="19" customFormat="false" ht="12.8" hidden="false" customHeight="false" outlineLevel="0" collapsed="false">
      <c r="B19" s="1" t="s">
        <v>112</v>
      </c>
      <c r="C19" s="1" t="n">
        <f aca="false">q_lin*L_chan/(M_dot)</f>
        <v>48.7733333333333</v>
      </c>
      <c r="D19" s="14" t="n">
        <f aca="false">M_dot*C19</f>
        <v>14.632</v>
      </c>
      <c r="E19" s="5" t="n">
        <f aca="false">q_lin</f>
        <v>4</v>
      </c>
      <c r="F19" s="0" t="s">
        <v>113</v>
      </c>
    </row>
    <row r="20" customFormat="false" ht="12.8" hidden="false" customHeight="false" outlineLevel="0" collapsed="false">
      <c r="B20" s="1" t="s">
        <v>105</v>
      </c>
      <c r="C20" s="5" t="n">
        <f aca="false">E10-$E$9</f>
        <v>49.655826716458</v>
      </c>
      <c r="D20" s="14" t="n">
        <f aca="false">M_dot*C20</f>
        <v>14.8967480149374</v>
      </c>
      <c r="E20" s="5" t="n">
        <f aca="false">D20/L_chan</f>
        <v>4.07237507242685</v>
      </c>
      <c r="F20" s="15" t="n">
        <f aca="false">(E20-$E$19)/$E$19</f>
        <v>0.0180937681067119</v>
      </c>
    </row>
    <row r="21" customFormat="false" ht="12.8" hidden="false" customHeight="false" outlineLevel="0" collapsed="false">
      <c r="B21" s="1" t="s">
        <v>106</v>
      </c>
      <c r="C21" s="5" t="n">
        <f aca="false">E11-$E$9</f>
        <v>49.5744867071051</v>
      </c>
      <c r="D21" s="14" t="n">
        <f aca="false">M_dot*C21</f>
        <v>14.8723460121315</v>
      </c>
      <c r="E21" s="5" t="n">
        <f aca="false">D21/L_chan</f>
        <v>4.06570421326723</v>
      </c>
      <c r="F21" s="15" t="n">
        <f aca="false">(E21-$E$19)/$E$19</f>
        <v>0.0164260533168068</v>
      </c>
    </row>
    <row r="22" customFormat="false" ht="12.8" hidden="false" customHeight="false" outlineLevel="0" collapsed="false">
      <c r="B22" s="1" t="s">
        <v>107</v>
      </c>
      <c r="C22" s="5" t="n">
        <f aca="false">E12-$E$9</f>
        <v>49.1377099915862</v>
      </c>
      <c r="D22" s="14" t="n">
        <f aca="false">M_dot*C22</f>
        <v>14.7413129974759</v>
      </c>
      <c r="E22" s="5" t="n">
        <f aca="false">D22/L_chan</f>
        <v>4.02988326885617</v>
      </c>
      <c r="F22" s="15" t="n">
        <f aca="false">(E22-$E$19)/$E$19</f>
        <v>0.00747081721404275</v>
      </c>
    </row>
    <row r="23" customFormat="false" ht="12.8" hidden="false" customHeight="false" outlineLevel="0" collapsed="false">
      <c r="C23" s="4" t="s">
        <v>99</v>
      </c>
    </row>
    <row r="24" customFormat="false" ht="12.8" hidden="false" customHeight="false" outlineLevel="0" collapsed="false">
      <c r="B24" s="0" t="s">
        <v>114</v>
      </c>
      <c r="D24" s="9" t="n">
        <f aca="false">D25</f>
        <v>0.000487298838370701</v>
      </c>
      <c r="E24" s="9" t="n">
        <f aca="false">E25</f>
        <v>0.00108963332795357</v>
      </c>
      <c r="F24" s="0" t="n">
        <f aca="false">F25-E25</f>
        <v>0.00066734762026603</v>
      </c>
      <c r="G24" s="0" t="n">
        <f aca="false">G25-F25</f>
        <v>0.0006795132436339</v>
      </c>
      <c r="H24" s="0" t="n">
        <f aca="false">H25-G25</f>
        <v>0.00068374081099081</v>
      </c>
      <c r="I24" s="0" t="n">
        <f aca="false">I25-H25</f>
        <v>0.00068569059161015</v>
      </c>
      <c r="J24" s="0" t="n">
        <f aca="false">J25-I25</f>
        <v>0.0006867477098914</v>
      </c>
      <c r="K24" s="0" t="n">
        <f aca="false">K25-J25</f>
        <v>0.00068738440191091</v>
      </c>
      <c r="L24" s="0" t="n">
        <f aca="false">L25-K25</f>
        <v>0.00068779734411965</v>
      </c>
      <c r="M24" s="0" t="n">
        <f aca="false">M25-L25</f>
        <v>0.00068808031963873</v>
      </c>
      <c r="N24" s="0" t="n">
        <f aca="false">N25-M25</f>
        <v>0.00068828266169214</v>
      </c>
      <c r="O24" s="0" t="n">
        <f aca="false">O25-N25</f>
        <v>0.000688432334817139</v>
      </c>
      <c r="P24" s="0" t="n">
        <f aca="false">P25-O25</f>
        <v>0.000688546152267901</v>
      </c>
      <c r="Q24" s="0" t="n">
        <f aca="false">Q25-P25</f>
        <v>0.00068863471626578</v>
      </c>
      <c r="R24" s="0" t="n">
        <f aca="false">R25-Q25</f>
        <v>0.000688704981128739</v>
      </c>
      <c r="S24" s="0" t="n">
        <f aca="false">S25-R25</f>
        <v>0.000688761662091151</v>
      </c>
      <c r="T24" s="0" t="n">
        <f aca="false">T25-S25</f>
        <v>0.000688808047881498</v>
      </c>
      <c r="U24" s="0" t="n">
        <f aca="false">U25-T25</f>
        <v>0.000688846488950501</v>
      </c>
      <c r="V24" s="0" t="n">
        <f aca="false">V25-U25</f>
        <v>0.000688878701305299</v>
      </c>
      <c r="W24" s="0" t="n">
        <f aca="false">W25-V25</f>
        <v>0.000684489093558499</v>
      </c>
      <c r="X24" s="0" t="n">
        <f aca="false">X25-W25</f>
        <v>0.000275590551181102</v>
      </c>
      <c r="Y24" s="0" t="n">
        <f aca="false">Y25-X25</f>
        <v>0.0018700787401574</v>
      </c>
      <c r="Z24" s="1" t="s">
        <v>115</v>
      </c>
    </row>
    <row r="25" customFormat="false" ht="12.8" hidden="false" customHeight="false" outlineLevel="0" collapsed="false">
      <c r="B25" s="0" t="s">
        <v>116</v>
      </c>
      <c r="C25" s="0" t="n">
        <v>0</v>
      </c>
      <c r="D25" s="9" t="n">
        <v>0.000487298838370701</v>
      </c>
      <c r="E25" s="9" t="n">
        <v>0.00108963332795357</v>
      </c>
      <c r="F25" s="9" t="n">
        <v>0.0017569809482196</v>
      </c>
      <c r="G25" s="9" t="n">
        <v>0.0024364941918535</v>
      </c>
      <c r="H25" s="9" t="n">
        <v>0.00312023500284431</v>
      </c>
      <c r="I25" s="9" t="n">
        <v>0.00380592559445446</v>
      </c>
      <c r="J25" s="9" t="n">
        <v>0.00449267330434586</v>
      </c>
      <c r="K25" s="9" t="n">
        <v>0.00518005770625677</v>
      </c>
      <c r="L25" s="9" t="n">
        <v>0.00586785505037642</v>
      </c>
      <c r="M25" s="9" t="n">
        <v>0.00655593537001515</v>
      </c>
      <c r="N25" s="9" t="n">
        <v>0.00724421803170729</v>
      </c>
      <c r="O25" s="9" t="n">
        <v>0.00793265036652443</v>
      </c>
      <c r="P25" s="9" t="n">
        <v>0.00862119651879233</v>
      </c>
      <c r="Q25" s="9" t="n">
        <v>0.00930983123505811</v>
      </c>
      <c r="R25" s="9" t="n">
        <v>0.00999853621618685</v>
      </c>
      <c r="S25" s="9" t="n">
        <v>0.010687297878278</v>
      </c>
      <c r="T25" s="9" t="n">
        <v>0.0113761059261595</v>
      </c>
      <c r="U25" s="9" t="n">
        <v>0.01206495241511</v>
      </c>
      <c r="V25" s="9" t="n">
        <v>0.0127538311164153</v>
      </c>
      <c r="W25" s="9" t="n">
        <v>0.0134383202099738</v>
      </c>
      <c r="X25" s="9" t="n">
        <v>0.0137139107611549</v>
      </c>
      <c r="Y25" s="9" t="n">
        <v>0.0155839895013123</v>
      </c>
      <c r="Z25" s="16" t="n">
        <f aca="false">(t_in+q_lin*dz*2/(M_dot*cp_in))*9/5+32</f>
        <v>555.682193565694</v>
      </c>
    </row>
    <row r="26" customFormat="false" ht="12.8" hidden="false" customHeight="false" outlineLevel="0" collapsed="false">
      <c r="A26" s="0" t="s">
        <v>117</v>
      </c>
      <c r="B26" s="1" t="s">
        <v>105</v>
      </c>
      <c r="C26" s="5" t="n">
        <f aca="false">1/3*(4*D26-E26)</f>
        <v>728.287478666667</v>
      </c>
      <c r="D26" s="18" t="n">
        <v>728.123331</v>
      </c>
      <c r="E26" s="5" t="n">
        <v>727.630888</v>
      </c>
      <c r="F26" s="5" t="n">
        <v>726.62664</v>
      </c>
      <c r="G26" s="5" t="n">
        <v>725.049148</v>
      </c>
      <c r="H26" s="5" t="n">
        <v>722.898849</v>
      </c>
      <c r="I26" s="5" t="n">
        <v>720.178713</v>
      </c>
      <c r="J26" s="5" t="n">
        <v>716.891057</v>
      </c>
      <c r="K26" s="5" t="n">
        <v>713.037523</v>
      </c>
      <c r="L26" s="5" t="n">
        <v>708.619282</v>
      </c>
      <c r="M26" s="5" t="n">
        <v>703.637182</v>
      </c>
      <c r="N26" s="5" t="n">
        <v>698.091847</v>
      </c>
      <c r="O26" s="5" t="n">
        <v>691.983743</v>
      </c>
      <c r="P26" s="5" t="n">
        <v>685.31322</v>
      </c>
      <c r="Q26" s="5" t="n">
        <v>678.080539</v>
      </c>
      <c r="R26" s="5" t="n">
        <v>670.285898</v>
      </c>
      <c r="S26" s="5" t="n">
        <v>661.929443</v>
      </c>
      <c r="T26" s="0" t="n">
        <v>653.011279</v>
      </c>
      <c r="U26" s="0" t="n">
        <v>643.531482</v>
      </c>
      <c r="V26" s="0" t="n">
        <v>633.490099</v>
      </c>
      <c r="W26" s="0" t="n">
        <v>622.892401</v>
      </c>
      <c r="X26" s="0" t="n">
        <v>573.688854</v>
      </c>
      <c r="Y26" s="0" t="n">
        <v>563.622368</v>
      </c>
      <c r="Z26" s="9" t="n">
        <f aca="false">Z25</f>
        <v>555.682193565694</v>
      </c>
    </row>
    <row r="27" customFormat="false" ht="12.8" hidden="false" customHeight="false" outlineLevel="0" collapsed="false">
      <c r="A27" s="0" t="s">
        <v>117</v>
      </c>
      <c r="B27" s="1" t="s">
        <v>106</v>
      </c>
      <c r="C27" s="5" t="n">
        <f aca="false">1/3*(4*D27-E27)</f>
        <v>728.579676333333</v>
      </c>
      <c r="D27" s="17" t="n">
        <v>728.415169</v>
      </c>
      <c r="E27" s="0" t="n">
        <v>727.921647</v>
      </c>
      <c r="F27" s="0" t="n">
        <v>726.915204</v>
      </c>
      <c r="G27" s="0" t="n">
        <v>725.334281</v>
      </c>
      <c r="H27" s="0" t="n">
        <v>723.179337</v>
      </c>
      <c r="I27" s="0" t="n">
        <v>720.453379</v>
      </c>
      <c r="J27" s="0" t="n">
        <v>717.158765</v>
      </c>
      <c r="K27" s="0" t="n">
        <v>713.297186</v>
      </c>
      <c r="L27" s="0" t="n">
        <v>708.869865</v>
      </c>
      <c r="M27" s="0" t="n">
        <v>703.877709</v>
      </c>
      <c r="N27" s="0" t="n">
        <v>698.321407</v>
      </c>
      <c r="O27" s="0" t="n">
        <v>692.201494</v>
      </c>
      <c r="P27" s="0" t="n">
        <v>685.518393</v>
      </c>
      <c r="Q27" s="0" t="n">
        <v>678.272447</v>
      </c>
      <c r="R27" s="0" t="n">
        <v>670.463935</v>
      </c>
      <c r="S27" s="0" t="n">
        <v>662.093089</v>
      </c>
      <c r="T27" s="0" t="n">
        <v>653.160102</v>
      </c>
      <c r="U27" s="0" t="n">
        <v>643.66514</v>
      </c>
      <c r="V27" s="0" t="n">
        <v>633.608344</v>
      </c>
      <c r="W27" s="0" t="n">
        <v>622.99508</v>
      </c>
      <c r="X27" s="0" t="n">
        <v>573.718847</v>
      </c>
      <c r="Y27" s="0" t="n">
        <v>563.637113</v>
      </c>
      <c r="Z27" s="9" t="n">
        <f aca="false">Z26</f>
        <v>555.682193565694</v>
      </c>
    </row>
    <row r="28" customFormat="false" ht="12.8" hidden="false" customHeight="false" outlineLevel="0" collapsed="false">
      <c r="A28" s="0" t="s">
        <v>117</v>
      </c>
      <c r="B28" s="1" t="s">
        <v>107</v>
      </c>
      <c r="C28" s="5" t="n">
        <f aca="false">1/3*(4*D28-E28)</f>
        <v>728.234506333333</v>
      </c>
      <c r="D28" s="18" t="n">
        <v>728.070424</v>
      </c>
      <c r="E28" s="0" t="n">
        <v>727.578177</v>
      </c>
      <c r="F28" s="0" t="n">
        <v>726.574327</v>
      </c>
      <c r="G28" s="0" t="n">
        <v>724.997457</v>
      </c>
      <c r="H28" s="0" t="n">
        <v>722.848</v>
      </c>
      <c r="I28" s="0" t="n">
        <v>720.128921</v>
      </c>
      <c r="J28" s="0" t="n">
        <v>716.842526</v>
      </c>
      <c r="K28" s="0" t="n">
        <v>712.99045</v>
      </c>
      <c r="L28" s="0" t="n">
        <v>708.573856</v>
      </c>
      <c r="M28" s="0" t="n">
        <v>703.593579</v>
      </c>
      <c r="N28" s="0" t="n">
        <v>698.050233</v>
      </c>
      <c r="O28" s="0" t="n">
        <v>691.94427</v>
      </c>
      <c r="P28" s="0" t="n">
        <v>685.276027</v>
      </c>
      <c r="Q28" s="0" t="n">
        <v>678.045751</v>
      </c>
      <c r="R28" s="0" t="n">
        <v>670.253625</v>
      </c>
      <c r="S28" s="0" t="n">
        <v>661.899779</v>
      </c>
      <c r="T28" s="0" t="n">
        <v>652.984304</v>
      </c>
      <c r="U28" s="0" t="n">
        <v>643.507256</v>
      </c>
      <c r="V28" s="0" t="n">
        <v>633.468668</v>
      </c>
      <c r="W28" s="0" t="n">
        <v>622.873791</v>
      </c>
      <c r="X28" s="0" t="n">
        <v>573.683423</v>
      </c>
      <c r="Y28" s="0" t="n">
        <v>563.619701</v>
      </c>
      <c r="Z28" s="9" t="n">
        <f aca="false">Z27</f>
        <v>555.682193565694</v>
      </c>
    </row>
    <row r="29" customFormat="false" ht="12.8" hidden="false" customHeight="false" outlineLevel="0" collapsed="false">
      <c r="C29" s="4" t="s">
        <v>118</v>
      </c>
    </row>
    <row r="30" customFormat="false" ht="12.8" hidden="false" customHeight="false" outlineLevel="0" collapsed="false">
      <c r="B30" s="1" t="s">
        <v>119</v>
      </c>
      <c r="C30" s="5" t="n">
        <f aca="false">(C25)*t_ft_m*100</f>
        <v>0</v>
      </c>
      <c r="D30" s="5" t="n">
        <f aca="false">(D25)*t_ft_m*100</f>
        <v>0.0148529173234228</v>
      </c>
      <c r="E30" s="5" t="n">
        <f aca="false">(E25)*t_ft_m*100</f>
        <v>0.0332121327993576</v>
      </c>
      <c r="F30" s="5" t="n">
        <f aca="false">(F25)*t_ft_m*100</f>
        <v>0.0535529549998282</v>
      </c>
      <c r="G30" s="5" t="n">
        <f aca="false">(G25)*t_ft_m*100</f>
        <v>0.0742645866171139</v>
      </c>
      <c r="H30" s="5" t="n">
        <f aca="false">(H25)*t_ft_m*100</f>
        <v>0.0951050749101949</v>
      </c>
      <c r="I30" s="5" t="n">
        <f aca="false">(I25)*t_ft_m*100</f>
        <v>0.116004992711531</v>
      </c>
      <c r="J30" s="5" t="n">
        <f aca="false">(J25)*t_ft_m*100</f>
        <v>0.136937131583792</v>
      </c>
      <c r="K30" s="5" t="n">
        <f aca="false">(K25)*t_ft_m*100</f>
        <v>0.157888676892477</v>
      </c>
      <c r="L30" s="5" t="n">
        <f aca="false">(L25)*t_ft_m*100</f>
        <v>0.178852808720978</v>
      </c>
      <c r="M30" s="5" t="n">
        <f aca="false">(M25)*t_ft_m*100</f>
        <v>0.199825565671599</v>
      </c>
      <c r="N30" s="5" t="n">
        <f aca="false">(N25)*t_ft_m*100</f>
        <v>0.220804490028241</v>
      </c>
      <c r="O30" s="5" t="n">
        <f aca="false">(O25)*t_ft_m*100</f>
        <v>0.241787976436701</v>
      </c>
      <c r="P30" s="5" t="n">
        <f aca="false">(P25)*t_ft_m*100</f>
        <v>0.262774932012442</v>
      </c>
      <c r="Q30" s="5" t="n">
        <f aca="false">(Q25)*t_ft_m*100</f>
        <v>0.283764587027695</v>
      </c>
      <c r="R30" s="5" t="n">
        <f aca="false">(R25)*t_ft_m*100</f>
        <v>0.304756383722997</v>
      </c>
      <c r="S30" s="5" t="n">
        <f aca="false">(S25)*t_ft_m*100</f>
        <v>0.325749908059701</v>
      </c>
      <c r="T30" s="5" t="n">
        <f aca="false">(T25)*t_ft_m*100</f>
        <v>0.346744846239934</v>
      </c>
      <c r="U30" s="5" t="n">
        <f aca="false">(U25)*t_ft_m*100</f>
        <v>0.367740956107794</v>
      </c>
      <c r="V30" s="5" t="n">
        <f aca="false">(V25)*t_ft_m*100</f>
        <v>0.38873804781145</v>
      </c>
      <c r="W30" s="5" t="n">
        <f aca="false">(W25)*t_ft_m*100</f>
        <v>0.409601343832022</v>
      </c>
      <c r="X30" s="5" t="n">
        <f aca="false">(X25)*t_ft_m*100</f>
        <v>0.418001371391078</v>
      </c>
      <c r="Y30" s="5" t="n">
        <f aca="false">(Y25)*t_ft_m*100</f>
        <v>0.475001558398949</v>
      </c>
      <c r="AB30" s="5"/>
      <c r="AC30" s="3" t="s">
        <v>120</v>
      </c>
      <c r="AD30" s="7"/>
      <c r="AE30" s="1"/>
      <c r="AF30" s="1"/>
      <c r="AG30" s="1"/>
      <c r="AH30" s="1"/>
      <c r="AI30" s="1"/>
      <c r="AJ30" s="1"/>
      <c r="AK30" s="1"/>
    </row>
    <row r="31" customFormat="false" ht="12.8" hidden="false" customHeight="false" outlineLevel="0" collapsed="false">
      <c r="A31" s="0" t="s">
        <v>121</v>
      </c>
      <c r="B31" s="1" t="s">
        <v>112</v>
      </c>
      <c r="C31" s="5" t="n">
        <f aca="false">q_dot*1000/(4*k_fuel)*((R_fuel/100)^2)*(1-(C30/R_fuel)^2)+delta_gap+delta_clad</f>
        <v>92.3834112916388</v>
      </c>
      <c r="D31" s="5" t="n">
        <f aca="false">q_dot*1000/(4*k_fuel)*((R_fuel/100)^2)*(1-(D30/R_fuel)^2)+delta_gap+delta_clad</f>
        <v>92.3055703493028</v>
      </c>
      <c r="E31" s="5" t="n">
        <f aca="false">q_dot*1000/(4*k_fuel)*((R_fuel/100)^2)*(1-(E30/R_fuel)^2)+delta_gap+delta_clad</f>
        <v>91.9942065799586</v>
      </c>
      <c r="F31" s="5" t="n">
        <f aca="false">q_dot*1000/(4*k_fuel)*((R_fuel/100)^2)*(1-(F30/R_fuel)^2)+delta_gap+delta_clad</f>
        <v>91.3714790412701</v>
      </c>
      <c r="G31" s="5" t="n">
        <f aca="false">q_dot*1000/(4*k_fuel)*((R_fuel/100)^2)*(1-(G30/R_fuel)^2)+delta_gap+delta_clad</f>
        <v>90.4373877332375</v>
      </c>
      <c r="H31" s="5" t="n">
        <f aca="false">q_dot*1000/(4*k_fuel)*((R_fuel/100)^2)*(1-(H30/R_fuel)^2)+delta_gap+delta_clad</f>
        <v>89.1919326558606</v>
      </c>
      <c r="I31" s="5" t="n">
        <f aca="false">q_dot*1000/(4*k_fuel)*((R_fuel/100)^2)*(1-(I30/R_fuel)^2)+delta_gap+delta_clad</f>
        <v>87.6351138091396</v>
      </c>
      <c r="J31" s="5" t="n">
        <f aca="false">q_dot*1000/(4*k_fuel)*((R_fuel/100)^2)*(1-(J30/R_fuel)^2)+delta_gap+delta_clad</f>
        <v>85.7669311930743</v>
      </c>
      <c r="K31" s="5" t="n">
        <f aca="false">q_dot*1000/(4*k_fuel)*((R_fuel/100)^2)*(1-(K30/R_fuel)^2)+delta_gap+delta_clad</f>
        <v>83.5873848076648</v>
      </c>
      <c r="L31" s="5" t="n">
        <f aca="false">q_dot*1000/(4*k_fuel)*((R_fuel/100)^2)*(1-(L30/R_fuel)^2)+delta_gap+delta_clad</f>
        <v>81.0964746529111</v>
      </c>
      <c r="M31" s="5" t="n">
        <f aca="false">q_dot*1000/(4*k_fuel)*((R_fuel/100)^2)*(1-(M30/R_fuel)^2)+delta_gap+delta_clad</f>
        <v>78.2942007288132</v>
      </c>
      <c r="N31" s="5" t="n">
        <f aca="false">q_dot*1000/(4*k_fuel)*((R_fuel/100)^2)*(1-(N30/R_fuel)^2)+delta_gap+delta_clad</f>
        <v>75.1805630353711</v>
      </c>
      <c r="O31" s="5" t="n">
        <f aca="false">q_dot*1000/(4*k_fuel)*((R_fuel/100)^2)*(1-(O30/R_fuel)^2)+delta_gap+delta_clad</f>
        <v>71.7555615725847</v>
      </c>
      <c r="P31" s="5" t="n">
        <f aca="false">q_dot*1000/(4*k_fuel)*((R_fuel/100)^2)*(1-(P30/R_fuel)^2)+delta_gap+delta_clad</f>
        <v>68.0191963404542</v>
      </c>
      <c r="Q31" s="5" t="n">
        <f aca="false">q_dot*1000/(4*k_fuel)*((R_fuel/100)^2)*(1-(Q30/R_fuel)^2)+delta_gap+delta_clad</f>
        <v>63.9714673389794</v>
      </c>
      <c r="R31" s="5" t="n">
        <f aca="false">q_dot*1000/(4*k_fuel)*((R_fuel/100)^2)*(1-(R30/R_fuel)^2)+delta_gap+delta_clad</f>
        <v>59.6123745681604</v>
      </c>
      <c r="S31" s="5" t="n">
        <f aca="false">q_dot*1000/(4*k_fuel)*((R_fuel/100)^2)*(1-(S30/R_fuel)^2)+delta_gap+delta_clad</f>
        <v>54.9419180279975</v>
      </c>
      <c r="T31" s="5" t="n">
        <f aca="false">q_dot*1000/(4*k_fuel)*((R_fuel/100)^2)*(1-(T30/R_fuel)^2)+delta_gap+delta_clad</f>
        <v>49.9600977184901</v>
      </c>
      <c r="U31" s="5" t="n">
        <f aca="false">q_dot*1000/(4*k_fuel)*((R_fuel/100)^2)*(1-(U30/R_fuel)^2)+delta_gap+delta_clad</f>
        <v>44.6669136396378</v>
      </c>
      <c r="V31" s="5" t="n">
        <f aca="false">q_dot*1000/(4*k_fuel)*((R_fuel/100)^2)*(1-(V30/R_fuel)^2)+delta_gap+delta_clad</f>
        <v>39.0623657914423</v>
      </c>
      <c r="W31" s="5" t="n">
        <f aca="false">delta_gap+delta_clad</f>
        <v>33.1857630817195</v>
      </c>
      <c r="X31" s="5" t="n">
        <f aca="false">delta_clad</f>
        <v>5.81405867843346</v>
      </c>
      <c r="Y31" s="5" t="n">
        <v>0</v>
      </c>
      <c r="Z31" s="5" t="n">
        <f aca="false">-delta_fluid</f>
        <v>-3.96372848086904</v>
      </c>
      <c r="AB31" s="1" t="s">
        <v>105</v>
      </c>
      <c r="AC31" s="6" t="n">
        <f aca="false">C32-C$31</f>
        <v>-0.90279425460183</v>
      </c>
      <c r="AD31" s="6" t="n">
        <f aca="false">D32-D$31</f>
        <v>-0.916146460413898</v>
      </c>
      <c r="AE31" s="6" t="n">
        <f aca="false">E32-E$31</f>
        <v>-0.878362135514124</v>
      </c>
      <c r="AF31" s="6" t="n">
        <f aca="false">F32-F$31</f>
        <v>-0.813550152381296</v>
      </c>
      <c r="AG31" s="6" t="n">
        <f aca="false">G32-G$31</f>
        <v>-0.755843288793116</v>
      </c>
      <c r="AH31" s="6" t="n">
        <f aca="false">H32-H$31</f>
        <v>-0.704998766971755</v>
      </c>
      <c r="AI31" s="6" t="n">
        <f aca="false">I32-I$31</f>
        <v>-0.659366586917358</v>
      </c>
      <c r="AJ31" s="6" t="n">
        <f aca="false">J32-J$31</f>
        <v>-0.617659526407635</v>
      </c>
      <c r="AK31" s="6" t="n">
        <f aca="false">K32-K$31</f>
        <v>-0.578965363220405</v>
      </c>
      <c r="AL31" s="6" t="n">
        <f aca="false">L32-L$31</f>
        <v>-0.542633541800015</v>
      </c>
      <c r="AM31" s="6" t="n">
        <f aca="false">M32-M$31</f>
        <v>-0.508192951035412</v>
      </c>
      <c r="AN31" s="6" t="n">
        <f aca="false">N32-N$31</f>
        <v>-0.475296924259993</v>
      </c>
    </row>
    <row r="32" customFormat="false" ht="12.8" hidden="false" customHeight="false" outlineLevel="0" collapsed="false">
      <c r="A32" s="0" t="s">
        <v>121</v>
      </c>
      <c r="B32" s="1" t="s">
        <v>105</v>
      </c>
      <c r="C32" s="5" t="n">
        <f aca="false">(C26-$Y26)*t_R_K</f>
        <v>91.480617037037</v>
      </c>
      <c r="D32" s="5" t="n">
        <f aca="false">(D26-$Y26)*t_R_K</f>
        <v>91.3894238888889</v>
      </c>
      <c r="E32" s="5" t="n">
        <f aca="false">(E26-$Y26)*t_R_K</f>
        <v>91.1158444444444</v>
      </c>
      <c r="F32" s="5" t="n">
        <f aca="false">(F26-$Y26)*t_R_K</f>
        <v>90.5579288888888</v>
      </c>
      <c r="G32" s="5" t="n">
        <f aca="false">(G26-$Y26)*t_R_K</f>
        <v>89.6815444444444</v>
      </c>
      <c r="H32" s="5" t="n">
        <f aca="false">(H26-$Y26)*t_R_K</f>
        <v>88.4869338888889</v>
      </c>
      <c r="I32" s="5" t="n">
        <f aca="false">(I26-$Y26)*t_R_K</f>
        <v>86.9757472222222</v>
      </c>
      <c r="J32" s="5" t="n">
        <f aca="false">(J26-$Y26)*t_R_K</f>
        <v>85.1492716666667</v>
      </c>
      <c r="K32" s="5" t="n">
        <f aca="false">(K26-$Y26)*t_R_K</f>
        <v>83.0084194444444</v>
      </c>
      <c r="L32" s="5" t="n">
        <f aca="false">(L26-$Y26)*t_R_K</f>
        <v>80.5538411111111</v>
      </c>
      <c r="M32" s="5" t="n">
        <f aca="false">(M26-$Y26)*t_R_K</f>
        <v>77.7860077777778</v>
      </c>
      <c r="N32" s="5" t="n">
        <f aca="false">(N26-$Y26)*t_R_K</f>
        <v>74.7052661111111</v>
      </c>
      <c r="O32" s="5" t="n">
        <f aca="false">(O26-$Y26)*t_R_K</f>
        <v>71.311875</v>
      </c>
      <c r="P32" s="5" t="n">
        <f aca="false">(P26-$Y26)*t_R_K</f>
        <v>67.6060288888889</v>
      </c>
      <c r="Q32" s="5" t="n">
        <f aca="false">(Q26-$Y26)*t_R_K</f>
        <v>63.5878727777778</v>
      </c>
      <c r="R32" s="5" t="n">
        <f aca="false">(R26-$Y26)*t_R_K</f>
        <v>59.2575166666666</v>
      </c>
      <c r="S32" s="5" t="n">
        <f aca="false">(S26-$Y26)*t_R_K</f>
        <v>54.6150416666666</v>
      </c>
      <c r="T32" s="5" t="n">
        <f aca="false">(T26-$Y26)*t_R_K</f>
        <v>49.6605061111111</v>
      </c>
      <c r="U32" s="5" t="n">
        <f aca="false">(U26-$Y26)*t_R_K</f>
        <v>44.3939522222222</v>
      </c>
      <c r="V32" s="5" t="n">
        <f aca="false">(V26-$Y26)*t_R_K</f>
        <v>38.8154061111111</v>
      </c>
      <c r="W32" s="5" t="n">
        <f aca="false">(W26-$Y26)*t_R_K</f>
        <v>32.9277961111111</v>
      </c>
      <c r="X32" s="5" t="n">
        <f aca="false">(X26-$Y26)*t_R_K</f>
        <v>5.59249222222219</v>
      </c>
      <c r="Y32" s="5" t="n">
        <f aca="false">(Y26-$Y26)*t_R_K</f>
        <v>0</v>
      </c>
      <c r="Z32" s="5" t="n">
        <f aca="false">(Z26-$Y26)*t_R_K</f>
        <v>-4.41120801905893</v>
      </c>
      <c r="AB32" s="1" t="s">
        <v>106</v>
      </c>
      <c r="AC32" s="6" t="n">
        <f aca="false">C33-C$31</f>
        <v>-0.748653884231445</v>
      </c>
      <c r="AD32" s="6" t="n">
        <f aca="false">D33-D$31</f>
        <v>-0.76220590485832</v>
      </c>
      <c r="AE32" s="6" t="n">
        <f aca="false">E33-E$31</f>
        <v>-0.725021024402992</v>
      </c>
      <c r="AF32" s="6" t="n">
        <f aca="false">F33-F$31</f>
        <v>-0.661428485714566</v>
      </c>
      <c r="AG32" s="6" t="n">
        <f aca="false">G33-G$31</f>
        <v>-0.605627733237483</v>
      </c>
      <c r="AH32" s="6" t="n">
        <f aca="false">H33-H$31</f>
        <v>-0.557363766971733</v>
      </c>
      <c r="AI32" s="6" t="n">
        <f aca="false">I33-I$31</f>
        <v>-0.514966031361766</v>
      </c>
      <c r="AJ32" s="6" t="n">
        <f aca="false">J33-J$31</f>
        <v>-0.477124526407621</v>
      </c>
      <c r="AK32" s="6" t="n">
        <f aca="false">K33-K$31</f>
        <v>-0.442899807664801</v>
      </c>
      <c r="AL32" s="6" t="n">
        <f aca="false">L33-L$31</f>
        <v>-0.411612430688876</v>
      </c>
      <c r="AM32" s="6" t="n">
        <f aca="false">M33-M$31</f>
        <v>-0.382758506590974</v>
      </c>
      <c r="AN32" s="6" t="n">
        <f aca="false">N33-N$31</f>
        <v>-0.355955257593294</v>
      </c>
    </row>
    <row r="33" customFormat="false" ht="12.8" hidden="false" customHeight="false" outlineLevel="0" collapsed="false">
      <c r="A33" s="0" t="s">
        <v>121</v>
      </c>
      <c r="B33" s="1" t="s">
        <v>106</v>
      </c>
      <c r="C33" s="5" t="n">
        <f aca="false">(C27-$Y27)*t_R_K</f>
        <v>91.6347574074074</v>
      </c>
      <c r="D33" s="5" t="n">
        <f aca="false">(D27-$Y27)*t_R_K</f>
        <v>91.5433644444444</v>
      </c>
      <c r="E33" s="5" t="n">
        <f aca="false">(E27-$Y27)*t_R_K</f>
        <v>91.2691855555556</v>
      </c>
      <c r="F33" s="5" t="n">
        <f aca="false">(F27-$Y27)*t_R_K</f>
        <v>90.7100505555556</v>
      </c>
      <c r="G33" s="5" t="n">
        <f aca="false">(G27-$Y27)*t_R_K</f>
        <v>89.83176</v>
      </c>
      <c r="H33" s="5" t="n">
        <f aca="false">(H27-$Y27)*t_R_K</f>
        <v>88.6345688888889</v>
      </c>
      <c r="I33" s="5" t="n">
        <f aca="false">(I27-$Y27)*t_R_K</f>
        <v>87.1201477777778</v>
      </c>
      <c r="J33" s="5" t="n">
        <f aca="false">(J27-$Y27)*t_R_K</f>
        <v>85.2898066666667</v>
      </c>
      <c r="K33" s="5" t="n">
        <f aca="false">(K27-$Y27)*t_R_K</f>
        <v>83.144485</v>
      </c>
      <c r="L33" s="5" t="n">
        <f aca="false">(L27-$Y27)*t_R_K</f>
        <v>80.6848622222222</v>
      </c>
      <c r="M33" s="5" t="n">
        <f aca="false">(M27-$Y27)*t_R_K</f>
        <v>77.9114422222222</v>
      </c>
      <c r="N33" s="5" t="n">
        <f aca="false">(N27-$Y27)*t_R_K</f>
        <v>74.8246077777778</v>
      </c>
      <c r="O33" s="5" t="n">
        <f aca="false">(O27-$Y27)*t_R_K</f>
        <v>71.4246561111111</v>
      </c>
      <c r="P33" s="5" t="n">
        <f aca="false">(P27-$Y27)*t_R_K</f>
        <v>67.7118222222222</v>
      </c>
      <c r="Q33" s="5" t="n">
        <f aca="false">(Q27-$Y27)*t_R_K</f>
        <v>63.6862966666667</v>
      </c>
      <c r="R33" s="5" t="n">
        <f aca="false">(R27-$Y27)*t_R_K</f>
        <v>59.3482344444444</v>
      </c>
      <c r="S33" s="5" t="n">
        <f aca="false">(S27-$Y27)*t_R_K</f>
        <v>54.6977644444444</v>
      </c>
      <c r="T33" s="5" t="n">
        <f aca="false">(T27-$Y27)*t_R_K</f>
        <v>49.7349938888889</v>
      </c>
      <c r="U33" s="5" t="n">
        <f aca="false">(U27-$Y27)*t_R_K</f>
        <v>44.460015</v>
      </c>
      <c r="V33" s="5" t="n">
        <f aca="false">(V27-$Y27)*t_R_K</f>
        <v>38.8729061111111</v>
      </c>
      <c r="W33" s="5" t="n">
        <f aca="false">(W27-$Y27)*t_R_K</f>
        <v>32.9766483333333</v>
      </c>
      <c r="X33" s="5" t="n">
        <f aca="false">(X27-$Y27)*t_R_K</f>
        <v>5.60096333333332</v>
      </c>
      <c r="Y33" s="5" t="n">
        <f aca="false">(Y27-$Y27)*t_R_K</f>
        <v>0</v>
      </c>
      <c r="Z33" s="5" t="n">
        <f aca="false">(Z27-$Y27)*t_R_K</f>
        <v>-4.41939968572557</v>
      </c>
      <c r="AB33" s="1" t="s">
        <v>107</v>
      </c>
      <c r="AC33" s="6" t="n">
        <f aca="false">C34-C$31</f>
        <v>-0.930741662009169</v>
      </c>
      <c r="AD33" s="6" t="n">
        <f aca="false">D34-D$31</f>
        <v>-0.944057571524965</v>
      </c>
      <c r="AE33" s="6" t="n">
        <f aca="false">E34-E$31</f>
        <v>-0.906164357736316</v>
      </c>
      <c r="AF33" s="6" t="n">
        <f aca="false">F34-F$31</f>
        <v>-0.841131263492315</v>
      </c>
      <c r="AG33" s="6" t="n">
        <f aca="false">G34-G$31</f>
        <v>-0.783078844348552</v>
      </c>
      <c r="AH33" s="6" t="n">
        <f aca="false">H34-H$31</f>
        <v>-0.731766544749533</v>
      </c>
      <c r="AI33" s="6" t="n">
        <f aca="false">I34-I$31</f>
        <v>-0.685547142472885</v>
      </c>
      <c r="AJ33" s="6" t="n">
        <f aca="false">J34-J$31</f>
        <v>-0.643139526407595</v>
      </c>
      <c r="AK33" s="6" t="n">
        <f aca="false">K34-K$31</f>
        <v>-0.603635363220334</v>
      </c>
      <c r="AL33" s="6" t="n">
        <f aca="false">L34-L$31</f>
        <v>-0.566388541799981</v>
      </c>
      <c r="AM33" s="6" t="n">
        <f aca="false">M34-M$31</f>
        <v>-0.530935173257632</v>
      </c>
      <c r="AN33" s="6" t="n">
        <f aca="false">N34-N$31</f>
        <v>-0.496934146482161</v>
      </c>
    </row>
    <row r="34" customFormat="false" ht="12.8" hidden="false" customHeight="false" outlineLevel="0" collapsed="false">
      <c r="A34" s="0" t="s">
        <v>121</v>
      </c>
      <c r="B34" s="1" t="s">
        <v>107</v>
      </c>
      <c r="C34" s="5" t="n">
        <f aca="false">(C28-$Y28)*t_R_K</f>
        <v>91.4526696296297</v>
      </c>
      <c r="D34" s="5" t="n">
        <f aca="false">(D28-$Y28)*t_R_K</f>
        <v>91.3615127777778</v>
      </c>
      <c r="E34" s="5" t="n">
        <f aca="false">(E28-$Y28)*t_R_K</f>
        <v>91.0880422222222</v>
      </c>
      <c r="F34" s="5" t="n">
        <f aca="false">(F28-$Y28)*t_R_K</f>
        <v>90.5303477777778</v>
      </c>
      <c r="G34" s="5" t="n">
        <f aca="false">(G28-$Y28)*t_R_K</f>
        <v>89.6543088888889</v>
      </c>
      <c r="H34" s="5" t="n">
        <f aca="false">(H28-$Y28)*t_R_K</f>
        <v>88.4601661111111</v>
      </c>
      <c r="I34" s="5" t="n">
        <f aca="false">(I28-$Y28)*t_R_K</f>
        <v>86.9495666666667</v>
      </c>
      <c r="J34" s="5" t="n">
        <f aca="false">(J28-$Y28)*t_R_K</f>
        <v>85.1237916666667</v>
      </c>
      <c r="K34" s="5" t="n">
        <f aca="false">(K28-$Y28)*t_R_K</f>
        <v>82.9837494444445</v>
      </c>
      <c r="L34" s="5" t="n">
        <f aca="false">(L28-$Y28)*t_R_K</f>
        <v>80.5300861111111</v>
      </c>
      <c r="M34" s="5" t="n">
        <f aca="false">(M28-$Y28)*t_R_K</f>
        <v>77.7632655555556</v>
      </c>
      <c r="N34" s="5" t="n">
        <f aca="false">(N28-$Y28)*t_R_K</f>
        <v>74.6836288888889</v>
      </c>
      <c r="O34" s="5" t="n">
        <f aca="false">(O28-$Y28)*t_R_K</f>
        <v>71.2914272222222</v>
      </c>
      <c r="P34" s="5" t="n">
        <f aca="false">(P28-$Y28)*t_R_K</f>
        <v>67.5868477777778</v>
      </c>
      <c r="Q34" s="5" t="n">
        <f aca="false">(Q28-$Y28)*t_R_K</f>
        <v>63.5700277777778</v>
      </c>
      <c r="R34" s="5" t="n">
        <f aca="false">(R28-$Y28)*t_R_K</f>
        <v>59.2410688888889</v>
      </c>
      <c r="S34" s="5" t="n">
        <f aca="false">(S28-$Y28)*t_R_K</f>
        <v>54.6000433333333</v>
      </c>
      <c r="T34" s="5" t="n">
        <f aca="false">(T28-$Y28)*t_R_K</f>
        <v>49.6470016666667</v>
      </c>
      <c r="U34" s="5" t="n">
        <f aca="false">(U28-$Y28)*t_R_K</f>
        <v>44.381975</v>
      </c>
      <c r="V34" s="5" t="n">
        <f aca="false">(V28-$Y28)*t_R_K</f>
        <v>38.8049816666667</v>
      </c>
      <c r="W34" s="5" t="n">
        <f aca="false">(W28-$Y28)*t_R_K</f>
        <v>32.9189388888889</v>
      </c>
      <c r="X34" s="5" t="n">
        <f aca="false">(X28-$Y28)*t_R_K</f>
        <v>5.59095666666666</v>
      </c>
      <c r="Y34" s="5" t="n">
        <f aca="false">(Y28-$Y28)*t_R_K</f>
        <v>0</v>
      </c>
      <c r="Z34" s="5" t="n">
        <f aca="false">(Z28-$Y28)*t_R_K</f>
        <v>-4.40972635239221</v>
      </c>
    </row>
    <row r="35" customFormat="false" ht="12.8" hidden="false" customHeight="false" outlineLevel="0" collapsed="false"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customFormat="false" ht="12.8" hidden="false" customHeight="false" outlineLevel="0" collapsed="false">
      <c r="C36" s="4" t="s">
        <v>122</v>
      </c>
    </row>
    <row r="37" customFormat="false" ht="12.8" hidden="false" customHeight="false" outlineLevel="0" collapsed="false">
      <c r="B37" s="1" t="s">
        <v>119</v>
      </c>
      <c r="C37" s="7" t="n">
        <f aca="false">(C25)*t_ft_m*100</f>
        <v>0</v>
      </c>
      <c r="D37" s="7" t="n">
        <f aca="false">(D25)*t_ft_m*100</f>
        <v>0.0148529173234228</v>
      </c>
      <c r="E37" s="7" t="n">
        <f aca="false">(E25)*t_ft_m*100</f>
        <v>0.0332121327993576</v>
      </c>
      <c r="F37" s="7" t="n">
        <f aca="false">(F25)*t_ft_m*100</f>
        <v>0.0535529549998282</v>
      </c>
      <c r="G37" s="7" t="n">
        <f aca="false">(G25)*t_ft_m*100</f>
        <v>0.0742645866171139</v>
      </c>
      <c r="H37" s="7" t="n">
        <f aca="false">(H25)*t_ft_m*100</f>
        <v>0.0951050749101949</v>
      </c>
      <c r="I37" s="7" t="n">
        <f aca="false">(I25)*t_ft_m*100</f>
        <v>0.116004992711531</v>
      </c>
      <c r="J37" s="7" t="n">
        <f aca="false">(J25)*t_ft_m*100</f>
        <v>0.136937131583792</v>
      </c>
      <c r="K37" s="7" t="n">
        <f aca="false">(K25)*t_ft_m*100</f>
        <v>0.157888676892477</v>
      </c>
      <c r="L37" s="7" t="n">
        <f aca="false">(L25)*t_ft_m*100</f>
        <v>0.178852808720978</v>
      </c>
      <c r="M37" s="7" t="n">
        <f aca="false">(M25)*t_ft_m*100</f>
        <v>0.199825565671599</v>
      </c>
      <c r="N37" s="7" t="n">
        <f aca="false">(N25)*t_ft_m*100</f>
        <v>0.220804490028241</v>
      </c>
      <c r="O37" s="7" t="n">
        <f aca="false">(O25)*t_ft_m*100</f>
        <v>0.241787976436701</v>
      </c>
      <c r="P37" s="7"/>
    </row>
    <row r="38" customFormat="false" ht="12.8" hidden="false" customHeight="false" outlineLevel="0" collapsed="false">
      <c r="A38" s="0" t="s">
        <v>121</v>
      </c>
      <c r="B38" s="1" t="s">
        <v>112</v>
      </c>
      <c r="C38" s="5" t="n">
        <f aca="false">C31+$Z38-$Z31</f>
        <v>387.281691753449</v>
      </c>
      <c r="D38" s="5" t="n">
        <f aca="false">D31+$Z38-$Z31</f>
        <v>387.203850811113</v>
      </c>
      <c r="E38" s="5" t="n">
        <f aca="false">E31+$Z38-$Z31</f>
        <v>386.892487041769</v>
      </c>
      <c r="F38" s="5" t="n">
        <f aca="false">F31+$Z38-$Z31</f>
        <v>386.26975950308</v>
      </c>
      <c r="G38" s="5" t="n">
        <f aca="false">G31+$Z38-$Z31</f>
        <v>385.335668195048</v>
      </c>
      <c r="H38" s="5" t="n">
        <f aca="false">H31+$Z38-$Z31</f>
        <v>384.090213117671</v>
      </c>
      <c r="I38" s="5" t="n">
        <f aca="false">I31+$Z38-$Z31</f>
        <v>382.53339427095</v>
      </c>
      <c r="J38" s="5" t="n">
        <f aca="false">J31+$Z38-$Z31</f>
        <v>380.665211654884</v>
      </c>
      <c r="K38" s="5" t="n">
        <f aca="false">K31+$Z38-$Z31</f>
        <v>378.485665269475</v>
      </c>
      <c r="L38" s="5" t="n">
        <f aca="false">L31+$Z38-$Z31</f>
        <v>375.994755114721</v>
      </c>
      <c r="M38" s="5" t="n">
        <f aca="false">M31+$Z38-$Z31</f>
        <v>373.192481190623</v>
      </c>
      <c r="N38" s="5" t="n">
        <f aca="false">N31+$Z38-$Z31</f>
        <v>370.078843497181</v>
      </c>
      <c r="O38" s="5" t="n">
        <f aca="false">O31+$Z38-$Z31</f>
        <v>366.653842034395</v>
      </c>
      <c r="P38" s="5" t="n">
        <f aca="false">P31+$Z38-$Z31</f>
        <v>362.917476802264</v>
      </c>
      <c r="Q38" s="5" t="n">
        <f aca="false">Q31+$Z38-$Z31</f>
        <v>358.86974780079</v>
      </c>
      <c r="R38" s="5" t="n">
        <f aca="false">R31+$Z38-$Z31</f>
        <v>354.510655029971</v>
      </c>
      <c r="S38" s="5" t="n">
        <f aca="false">S31+$Z38-$Z31</f>
        <v>349.840198489808</v>
      </c>
      <c r="T38" s="5" t="n">
        <f aca="false">T31+$Z38-$Z31</f>
        <v>344.8583781803</v>
      </c>
      <c r="U38" s="5" t="n">
        <f aca="false">U31+$Z38-$Z31</f>
        <v>339.565194101448</v>
      </c>
      <c r="V38" s="5" t="n">
        <f aca="false">V31+$Z38-$Z31</f>
        <v>333.960646253252</v>
      </c>
      <c r="W38" s="5" t="n">
        <f aca="false">W31+$Z38-$Z31</f>
        <v>328.08404354353</v>
      </c>
      <c r="X38" s="5" t="n">
        <f aca="false">X31+$Z38-$Z31</f>
        <v>300.712339140244</v>
      </c>
      <c r="Y38" s="5" t="n">
        <f aca="false">Y31+$Z38-$Z31</f>
        <v>294.89828046181</v>
      </c>
      <c r="Z38" s="5" t="n">
        <f aca="false">5/9*(Z25-32)</f>
        <v>290.934551980941</v>
      </c>
      <c r="AB38" s="5"/>
      <c r="AC38" s="3" t="s">
        <v>123</v>
      </c>
      <c r="AD38" s="7"/>
      <c r="AE38" s="1"/>
      <c r="AF38" s="1"/>
      <c r="AG38" s="1"/>
      <c r="AH38" s="1"/>
      <c r="AI38" s="1"/>
      <c r="AJ38" s="1"/>
      <c r="AK38" s="1"/>
    </row>
    <row r="39" customFormat="false" ht="12.8" hidden="false" customHeight="false" outlineLevel="0" collapsed="false">
      <c r="A39" s="0" t="s">
        <v>121</v>
      </c>
      <c r="B39" s="1" t="s">
        <v>105</v>
      </c>
      <c r="C39" s="5" t="n">
        <f aca="false">C32+$Z39-$Z32</f>
        <v>386.826377037037</v>
      </c>
      <c r="D39" s="5" t="n">
        <f aca="false">D32+$Z39-$Z32</f>
        <v>386.735183888889</v>
      </c>
      <c r="E39" s="5" t="n">
        <f aca="false">E32+$Z39-$Z32</f>
        <v>386.461604444444</v>
      </c>
      <c r="F39" s="5" t="n">
        <f aca="false">F32+$Z39-$Z32</f>
        <v>385.903688888889</v>
      </c>
      <c r="G39" s="5" t="n">
        <f aca="false">G32+$Z39-$Z32</f>
        <v>385.027304444444</v>
      </c>
      <c r="H39" s="5" t="n">
        <f aca="false">H32+$Z39-$Z32</f>
        <v>383.832693888889</v>
      </c>
      <c r="I39" s="5" t="n">
        <f aca="false">I32+$Z39-$Z32</f>
        <v>382.321507222222</v>
      </c>
      <c r="J39" s="5" t="n">
        <f aca="false">J32+$Z39-$Z32</f>
        <v>380.495031666667</v>
      </c>
      <c r="K39" s="5" t="n">
        <f aca="false">K32+$Z39-$Z32</f>
        <v>378.354179444444</v>
      </c>
      <c r="L39" s="5" t="n">
        <f aca="false">L32+$Z39-$Z32</f>
        <v>375.899601111111</v>
      </c>
      <c r="M39" s="5" t="n">
        <f aca="false">M32+$Z39-$Z32</f>
        <v>373.131767777778</v>
      </c>
      <c r="N39" s="5" t="n">
        <f aca="false">N32+$Z39-$Z32</f>
        <v>370.051026111111</v>
      </c>
      <c r="O39" s="5" t="n">
        <f aca="false">O32+$Z39-$Z32</f>
        <v>366.657635</v>
      </c>
      <c r="P39" s="5" t="n">
        <f aca="false">P32+$Z39-$Z32</f>
        <v>362.951788888889</v>
      </c>
      <c r="Q39" s="5" t="n">
        <f aca="false">Q32+$Z39-$Z32</f>
        <v>358.933632777778</v>
      </c>
      <c r="R39" s="5" t="n">
        <f aca="false">R32+$Z39-$Z32</f>
        <v>354.603276666667</v>
      </c>
      <c r="S39" s="5" t="n">
        <f aca="false">S32+$Z39-$Z32</f>
        <v>349.960801666667</v>
      </c>
      <c r="T39" s="5" t="n">
        <f aca="false">T32+$Z39-$Z32</f>
        <v>345.006266111111</v>
      </c>
      <c r="U39" s="5" t="n">
        <f aca="false">U32+$Z39-$Z32</f>
        <v>339.739712222222</v>
      </c>
      <c r="V39" s="5" t="n">
        <f aca="false">V32+$Z39-$Z32</f>
        <v>334.161166111111</v>
      </c>
      <c r="W39" s="5" t="n">
        <f aca="false">W32+$Z39-$Z32</f>
        <v>328.273556111111</v>
      </c>
      <c r="X39" s="5" t="n">
        <f aca="false">X32+$Z39-$Z32</f>
        <v>300.938252222222</v>
      </c>
      <c r="Y39" s="5" t="n">
        <f aca="false">Y32+$Z39-$Z32</f>
        <v>295.34576</v>
      </c>
      <c r="Z39" s="5" t="n">
        <f aca="false">5/9*(Z26-32)</f>
        <v>290.934551980941</v>
      </c>
      <c r="AB39" s="1" t="s">
        <v>105</v>
      </c>
      <c r="AC39" s="19" t="n">
        <f aca="false">(C39-C$38)/C$38</f>
        <v>-0.00117566806308479</v>
      </c>
      <c r="AD39" s="19" t="n">
        <f aca="false">(D39-D$38)/D$38</f>
        <v>-0.00121038807140561</v>
      </c>
      <c r="AE39" s="19" t="n">
        <f aca="false">(E39-E$38)/E$38</f>
        <v>-0.00111370112306633</v>
      </c>
      <c r="AF39" s="19" t="n">
        <f aca="false">(F39-F$38)/F$38</f>
        <v>-0.000947707153317945</v>
      </c>
      <c r="AG39" s="19" t="n">
        <f aca="false">(G39-G$38)/G$38</f>
        <v>-0.000800247098971396</v>
      </c>
      <c r="AH39" s="19" t="n">
        <f aca="false">(H39-H$38)/H$38</f>
        <v>-0.000670465479168619</v>
      </c>
      <c r="AI39" s="19" t="n">
        <f aca="false">(I39-I$38)/I$38</f>
        <v>-0.00055390470976098</v>
      </c>
      <c r="AJ39" s="19" t="n">
        <f aca="false">(J39-J$38)/J$38</f>
        <v>-0.000447059471176693</v>
      </c>
      <c r="AK39" s="19" t="n">
        <f aca="false">(K39-K$38)/K$38</f>
        <v>-0.000347399748777786</v>
      </c>
      <c r="AL39" s="19" t="n">
        <f aca="false">(L39-L$38)/L$38</f>
        <v>-0.000253072688689844</v>
      </c>
      <c r="AM39" s="19" t="n">
        <f aca="false">(M39-M$38)/M$38</f>
        <v>-0.00016268659178725</v>
      </c>
      <c r="AN39" s="19" t="n">
        <f aca="false">(N39-N$38)/N$38</f>
        <v>-7.5166107328139E-005</v>
      </c>
      <c r="AO39" s="19" t="n">
        <f aca="false">(O39-O$38)/O$38</f>
        <v>1.03448134732617E-005</v>
      </c>
    </row>
    <row r="40" customFormat="false" ht="12.8" hidden="false" customHeight="false" outlineLevel="0" collapsed="false">
      <c r="A40" s="0" t="s">
        <v>121</v>
      </c>
      <c r="B40" s="1" t="s">
        <v>106</v>
      </c>
      <c r="C40" s="5" t="n">
        <f aca="false">C33+$Z40-$Z33</f>
        <v>386.988709074074</v>
      </c>
      <c r="D40" s="5" t="n">
        <f aca="false">D33+$Z40-$Z33</f>
        <v>386.897316111111</v>
      </c>
      <c r="E40" s="5" t="n">
        <f aca="false">E33+$Z40-$Z33</f>
        <v>386.623137222222</v>
      </c>
      <c r="F40" s="5" t="n">
        <f aca="false">F33+$Z40-$Z33</f>
        <v>386.064002222222</v>
      </c>
      <c r="G40" s="5" t="n">
        <f aca="false">G33+$Z40-$Z33</f>
        <v>385.185711666667</v>
      </c>
      <c r="H40" s="5" t="n">
        <f aca="false">H33+$Z40-$Z33</f>
        <v>383.988520555556</v>
      </c>
      <c r="I40" s="5" t="n">
        <f aca="false">I33+$Z40-$Z33</f>
        <v>382.474099444445</v>
      </c>
      <c r="J40" s="5" t="n">
        <f aca="false">J33+$Z40-$Z33</f>
        <v>380.643758333333</v>
      </c>
      <c r="K40" s="5" t="n">
        <f aca="false">K33+$Z40-$Z33</f>
        <v>378.498436666667</v>
      </c>
      <c r="L40" s="5" t="n">
        <f aca="false">L33+$Z40-$Z33</f>
        <v>376.038813888889</v>
      </c>
      <c r="M40" s="5" t="n">
        <f aca="false">M33+$Z40-$Z33</f>
        <v>373.265393888889</v>
      </c>
      <c r="N40" s="5" t="n">
        <f aca="false">N33+$Z40-$Z33</f>
        <v>370.178559444445</v>
      </c>
      <c r="O40" s="5" t="n">
        <f aca="false">O33+$Z40-$Z33</f>
        <v>366.778607777778</v>
      </c>
      <c r="P40" s="5" t="n">
        <f aca="false">P33+$Z40-$Z33</f>
        <v>363.065773888889</v>
      </c>
      <c r="Q40" s="5" t="n">
        <f aca="false">Q33+$Z40-$Z33</f>
        <v>359.040248333333</v>
      </c>
      <c r="R40" s="5" t="n">
        <f aca="false">R33+$Z40-$Z33</f>
        <v>354.702186111111</v>
      </c>
      <c r="S40" s="5" t="n">
        <f aca="false">S33+$Z40-$Z33</f>
        <v>350.051716111111</v>
      </c>
      <c r="T40" s="5" t="n">
        <f aca="false">T33+$Z40-$Z33</f>
        <v>345.088945555556</v>
      </c>
      <c r="U40" s="5" t="n">
        <f aca="false">U33+$Z40-$Z33</f>
        <v>339.813966666667</v>
      </c>
      <c r="V40" s="5" t="n">
        <f aca="false">V33+$Z40-$Z33</f>
        <v>334.226857777778</v>
      </c>
      <c r="W40" s="5" t="n">
        <f aca="false">W33+$Z40-$Z33</f>
        <v>328.3306</v>
      </c>
      <c r="X40" s="5" t="n">
        <f aca="false">X33+$Z40-$Z33</f>
        <v>300.954915</v>
      </c>
      <c r="Y40" s="5" t="n">
        <f aca="false">Y33+$Z40-$Z33</f>
        <v>295.353951666667</v>
      </c>
      <c r="Z40" s="5" t="n">
        <f aca="false">5/9*(Z27-32)</f>
        <v>290.934551980941</v>
      </c>
      <c r="AB40" s="1" t="s">
        <v>106</v>
      </c>
      <c r="AC40" s="19" t="n">
        <f aca="false">(C40-C$38)/C$38</f>
        <v>-0.000756510533840144</v>
      </c>
      <c r="AD40" s="19" t="n">
        <f aca="false">(D40-D$38)/D$38</f>
        <v>-0.00079166232298485</v>
      </c>
      <c r="AE40" s="19" t="n">
        <f aca="false">(E40-E$38)/E$38</f>
        <v>-0.00069618777455719</v>
      </c>
      <c r="AF40" s="19" t="n">
        <f aca="false">(F40-F$38)/F$38</f>
        <v>-0.000532677683913974</v>
      </c>
      <c r="AG40" s="19" t="n">
        <f aca="false">(G40-G$38)/G$38</f>
        <v>-0.000389158182743359</v>
      </c>
      <c r="AH40" s="19" t="n">
        <f aca="false">(H40-H$38)/H$38</f>
        <v>-0.000264762179931019</v>
      </c>
      <c r="AI40" s="19" t="n">
        <f aca="false">(I40-I$38)/I$38</f>
        <v>-0.000155005621452403</v>
      </c>
      <c r="AJ40" s="19" t="n">
        <f aca="false">(J40-J$38)/J$38</f>
        <v>-5.63574524129902E-005</v>
      </c>
      <c r="AK40" s="19" t="n">
        <f aca="false">(K40-K$38)/K$38</f>
        <v>3.37434105533016E-005</v>
      </c>
      <c r="AL40" s="19" t="n">
        <f aca="false">(L40-L$38)/L$38</f>
        <v>0.000117179225423642</v>
      </c>
      <c r="AM40" s="19" t="n">
        <f aca="false">(M40-M$38)/M$38</f>
        <v>0.000195375582147142</v>
      </c>
      <c r="AN40" s="19" t="n">
        <f aca="false">(N40-N$38)/N$38</f>
        <v>0.000269445143961585</v>
      </c>
      <c r="AO40" s="19" t="n">
        <f aca="false">(O40-O$38)/O$38</f>
        <v>0.00034028211102505</v>
      </c>
    </row>
    <row r="41" customFormat="false" ht="12.8" hidden="false" customHeight="false" outlineLevel="0" collapsed="false">
      <c r="A41" s="0" t="s">
        <v>121</v>
      </c>
      <c r="B41" s="1" t="s">
        <v>107</v>
      </c>
      <c r="C41" s="5" t="n">
        <f aca="false">C34+$Z41-$Z34</f>
        <v>386.796947962963</v>
      </c>
      <c r="D41" s="5" t="n">
        <f aca="false">D34+$Z41-$Z34</f>
        <v>386.705791111111</v>
      </c>
      <c r="E41" s="5" t="n">
        <f aca="false">E34+$Z41-$Z34</f>
        <v>386.432320555556</v>
      </c>
      <c r="F41" s="5" t="n">
        <f aca="false">F34+$Z41-$Z34</f>
        <v>385.874626111111</v>
      </c>
      <c r="G41" s="5" t="n">
        <f aca="false">G34+$Z41-$Z34</f>
        <v>384.998587222222</v>
      </c>
      <c r="H41" s="5" t="n">
        <f aca="false">H34+$Z41-$Z34</f>
        <v>383.804444444444</v>
      </c>
      <c r="I41" s="5" t="n">
        <f aca="false">I34+$Z41-$Z34</f>
        <v>382.293845</v>
      </c>
      <c r="J41" s="5" t="n">
        <f aca="false">J34+$Z41-$Z34</f>
        <v>380.46807</v>
      </c>
      <c r="K41" s="5" t="n">
        <f aca="false">K34+$Z41-$Z34</f>
        <v>378.328027777778</v>
      </c>
      <c r="L41" s="5" t="n">
        <f aca="false">L34+$Z41-$Z34</f>
        <v>375.874364444444</v>
      </c>
      <c r="M41" s="5" t="n">
        <f aca="false">M34+$Z41-$Z34</f>
        <v>373.107543888889</v>
      </c>
      <c r="N41" s="5" t="n">
        <f aca="false">N34+$Z41-$Z34</f>
        <v>370.027907222222</v>
      </c>
      <c r="O41" s="5" t="n">
        <f aca="false">O34+$Z41-$Z34</f>
        <v>366.635705555556</v>
      </c>
      <c r="P41" s="5" t="n">
        <f aca="false">P34+$Z41-$Z34</f>
        <v>362.931126111111</v>
      </c>
      <c r="Q41" s="5" t="n">
        <f aca="false">Q34+$Z41-$Z34</f>
        <v>358.914306111111</v>
      </c>
      <c r="R41" s="5" t="n">
        <f aca="false">R34+$Z41-$Z34</f>
        <v>354.585347222222</v>
      </c>
      <c r="S41" s="5" t="n">
        <f aca="false">S34+$Z41-$Z34</f>
        <v>349.944321666667</v>
      </c>
      <c r="T41" s="5" t="n">
        <f aca="false">T34+$Z41-$Z34</f>
        <v>344.99128</v>
      </c>
      <c r="U41" s="5" t="n">
        <f aca="false">U34+$Z41-$Z34</f>
        <v>339.726253333333</v>
      </c>
      <c r="V41" s="5" t="n">
        <f aca="false">V34+$Z41-$Z34</f>
        <v>334.14926</v>
      </c>
      <c r="W41" s="5" t="n">
        <f aca="false">W34+$Z41-$Z34</f>
        <v>328.263217222222</v>
      </c>
      <c r="X41" s="5" t="n">
        <f aca="false">X34+$Z41-$Z34</f>
        <v>300.935235</v>
      </c>
      <c r="Y41" s="5" t="n">
        <f aca="false">Y34+$Z41-$Z34</f>
        <v>295.344278333333</v>
      </c>
      <c r="Z41" s="5" t="n">
        <f aca="false">5/9*(Z28-32)</f>
        <v>290.934551980941</v>
      </c>
      <c r="AB41" s="1" t="s">
        <v>107</v>
      </c>
      <c r="AC41" s="19" t="n">
        <f aca="false">(C41-C$38)/C$38</f>
        <v>-0.00125165687097491</v>
      </c>
      <c r="AD41" s="19" t="n">
        <f aca="false">(D41-D$38)/D$38</f>
        <v>-0.0012862984160888</v>
      </c>
      <c r="AE41" s="19" t="n">
        <f aca="false">(E41-E$38)/E$38</f>
        <v>-0.00118939111413522</v>
      </c>
      <c r="AF41" s="19" t="n">
        <f aca="false">(F41-F$38)/F$38</f>
        <v>-0.00102294674187672</v>
      </c>
      <c r="AG41" s="19" t="n">
        <f aca="false">(G41-G$38)/G$38</f>
        <v>-0.000874772310604706</v>
      </c>
      <c r="AH41" s="19" t="n">
        <f aca="false">(H41-H$38)/H$38</f>
        <v>-0.000744014461880622</v>
      </c>
      <c r="AI41" s="19" t="n">
        <f aca="false">(I41-I$38)/I$38</f>
        <v>-0.000626217931656089</v>
      </c>
      <c r="AJ41" s="19" t="n">
        <f aca="false">(J41-J$38)/J$38</f>
        <v>-0.000517887237521363</v>
      </c>
      <c r="AK41" s="19" t="n">
        <f aca="false">(K41-K$38)/K$38</f>
        <v>-0.000416495276208023</v>
      </c>
      <c r="AL41" s="19" t="n">
        <f aca="false">(L41-L$38)/L$38</f>
        <v>-0.000320192419280008</v>
      </c>
      <c r="AM41" s="19" t="n">
        <f aca="false">(M41-M$38)/M$38</f>
        <v>-0.000227596497827234</v>
      </c>
      <c r="AN41" s="19" t="n">
        <f aca="false">(N41-N$38)/N$38</f>
        <v>-0.000137636279009214</v>
      </c>
      <c r="AO41" s="19" t="n">
        <f aca="false">(O41-O$38)/O$38</f>
        <v>-4.94648542033348E-005</v>
      </c>
    </row>
    <row r="42" customFormat="false" ht="12.8" hidden="false" customHeight="false" outlineLevel="0" collapsed="false">
      <c r="Q42" s="1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4" customFormat="false" ht="12.8" hidden="false" customHeight="false" outlineLevel="0" collapsed="false">
      <c r="A44" s="0" t="n">
        <v>0</v>
      </c>
      <c r="B44" s="9" t="n">
        <v>0.000487298838370701</v>
      </c>
      <c r="C44" s="9" t="n">
        <v>0.00108963332795357</v>
      </c>
      <c r="D44" s="9" t="n">
        <v>0.0017569809482196</v>
      </c>
      <c r="E44" s="9" t="n">
        <v>0.0024364941918535</v>
      </c>
      <c r="F44" s="9" t="n">
        <v>0.00312023500284431</v>
      </c>
      <c r="G44" s="9" t="n">
        <v>0.00380592559445446</v>
      </c>
      <c r="H44" s="9" t="n">
        <v>0.00449267330434586</v>
      </c>
      <c r="I44" s="9" t="n">
        <v>0.00518005770625677</v>
      </c>
      <c r="J44" s="9" t="n">
        <v>0.00586785505037642</v>
      </c>
      <c r="K44" s="9" t="n">
        <v>0.00655593537001515</v>
      </c>
      <c r="L44" s="9" t="n">
        <v>0.00724421803170729</v>
      </c>
      <c r="M44" s="9" t="n">
        <v>0.00793265036652443</v>
      </c>
      <c r="N44" s="9" t="n">
        <v>0.00862119651879233</v>
      </c>
      <c r="O44" s="9" t="n">
        <v>0.00930983123505811</v>
      </c>
      <c r="P44" s="9" t="n">
        <v>0.00999853621618685</v>
      </c>
      <c r="Q44" s="9" t="n">
        <v>0.010687297878278</v>
      </c>
      <c r="R44" s="9" t="n">
        <v>0.0113761059261595</v>
      </c>
      <c r="S44" s="9" t="n">
        <v>0.01206495241511</v>
      </c>
      <c r="T44" s="9" t="n">
        <v>0.0127538311164153</v>
      </c>
      <c r="U44" s="9" t="n">
        <v>0.0134383202099738</v>
      </c>
      <c r="V44" s="9" t="n">
        <v>0.0137139107611549</v>
      </c>
      <c r="W44" s="9" t="n">
        <v>0.0155839895013123</v>
      </c>
    </row>
    <row r="45" customFormat="false" ht="12.8" hidden="false" customHeight="false" outlineLevel="0" collapsed="false">
      <c r="C45" s="1"/>
      <c r="D45" s="1" t="s">
        <v>124</v>
      </c>
    </row>
    <row r="46" customFormat="false" ht="12.8" hidden="false" customHeight="false" outlineLevel="0" collapsed="false">
      <c r="A46" s="18" t="n">
        <v>728.123331</v>
      </c>
      <c r="B46" s="5" t="n">
        <v>727.630888</v>
      </c>
      <c r="C46" s="5" t="n">
        <v>726.62664</v>
      </c>
      <c r="D46" s="5" t="n">
        <v>725.049148</v>
      </c>
      <c r="E46" s="5" t="n">
        <v>722.898849</v>
      </c>
      <c r="F46" s="5" t="n">
        <v>720.178713</v>
      </c>
      <c r="G46" s="5" t="n">
        <v>716.891057</v>
      </c>
      <c r="H46" s="5" t="n">
        <v>713.037523</v>
      </c>
      <c r="I46" s="5" t="n">
        <v>708.619282</v>
      </c>
      <c r="J46" s="5" t="n">
        <v>703.637182</v>
      </c>
      <c r="K46" s="5" t="n">
        <v>698.091847</v>
      </c>
      <c r="L46" s="5" t="n">
        <v>691.983743</v>
      </c>
      <c r="M46" s="5" t="n">
        <v>685.31322</v>
      </c>
      <c r="N46" s="5" t="n">
        <v>678.080539</v>
      </c>
      <c r="O46" s="5" t="n">
        <v>670.285898</v>
      </c>
      <c r="P46" s="5" t="n">
        <v>661.929443</v>
      </c>
      <c r="Q46" s="0" t="n">
        <v>653.011279</v>
      </c>
      <c r="R46" s="0" t="n">
        <v>643.531482</v>
      </c>
      <c r="S46" s="0" t="n">
        <v>633.490099</v>
      </c>
      <c r="T46" s="0" t="n">
        <v>622.892401</v>
      </c>
      <c r="U46" s="0" t="n">
        <v>573.688854</v>
      </c>
      <c r="V46" s="0" t="n">
        <v>563.622368</v>
      </c>
    </row>
    <row r="47" customFormat="false" ht="12.8" hidden="false" customHeight="false" outlineLevel="0" collapsed="false">
      <c r="A47" s="17" t="n">
        <v>728.415169</v>
      </c>
      <c r="B47" s="0" t="n">
        <v>727.921647</v>
      </c>
      <c r="C47" s="0" t="n">
        <v>726.915204</v>
      </c>
      <c r="D47" s="0" t="n">
        <v>725.334281</v>
      </c>
      <c r="E47" s="0" t="n">
        <v>723.179337</v>
      </c>
      <c r="F47" s="0" t="n">
        <v>720.453379</v>
      </c>
      <c r="G47" s="0" t="n">
        <v>717.158765</v>
      </c>
      <c r="H47" s="0" t="n">
        <v>713.297186</v>
      </c>
      <c r="I47" s="0" t="n">
        <v>708.869865</v>
      </c>
      <c r="J47" s="0" t="n">
        <v>703.877709</v>
      </c>
      <c r="K47" s="0" t="n">
        <v>698.321407</v>
      </c>
      <c r="L47" s="0" t="n">
        <v>692.201494</v>
      </c>
      <c r="M47" s="0" t="n">
        <v>685.518393</v>
      </c>
      <c r="N47" s="0" t="n">
        <v>678.272447</v>
      </c>
      <c r="O47" s="0" t="n">
        <v>670.463935</v>
      </c>
      <c r="P47" s="0" t="n">
        <v>662.093089</v>
      </c>
      <c r="Q47" s="0" t="n">
        <v>653.160102</v>
      </c>
      <c r="R47" s="0" t="n">
        <v>643.66514</v>
      </c>
      <c r="S47" s="0" t="n">
        <v>633.608344</v>
      </c>
      <c r="T47" s="0" t="n">
        <v>622.99508</v>
      </c>
      <c r="U47" s="0" t="n">
        <v>573.718847</v>
      </c>
      <c r="V47" s="0" t="n">
        <v>563.637113</v>
      </c>
    </row>
    <row r="48" customFormat="false" ht="12.8" hidden="false" customHeight="false" outlineLevel="0" collapsed="false">
      <c r="A48" s="18" t="n">
        <v>728.070424</v>
      </c>
      <c r="B48" s="0" t="n">
        <v>727.578177</v>
      </c>
      <c r="C48" s="0" t="n">
        <v>726.574327</v>
      </c>
      <c r="D48" s="0" t="n">
        <v>724.997457</v>
      </c>
      <c r="E48" s="0" t="n">
        <v>722.848</v>
      </c>
      <c r="F48" s="0" t="n">
        <v>720.128921</v>
      </c>
      <c r="G48" s="0" t="n">
        <v>716.842526</v>
      </c>
      <c r="H48" s="0" t="n">
        <v>712.99045</v>
      </c>
      <c r="I48" s="0" t="n">
        <v>708.573856</v>
      </c>
      <c r="J48" s="0" t="n">
        <v>703.593579</v>
      </c>
      <c r="K48" s="0" t="n">
        <v>698.050233</v>
      </c>
      <c r="L48" s="0" t="n">
        <v>691.94427</v>
      </c>
      <c r="M48" s="0" t="n">
        <v>685.276027</v>
      </c>
      <c r="N48" s="0" t="n">
        <v>678.045751</v>
      </c>
      <c r="O48" s="0" t="n">
        <v>670.253625</v>
      </c>
      <c r="P48" s="0" t="n">
        <v>661.899779</v>
      </c>
      <c r="Q48" s="0" t="n">
        <v>652.984304</v>
      </c>
      <c r="R48" s="0" t="n">
        <v>643.507256</v>
      </c>
      <c r="S48" s="0" t="n">
        <v>633.468668</v>
      </c>
      <c r="T48" s="0" t="n">
        <v>622.873791</v>
      </c>
      <c r="U48" s="0" t="n">
        <v>573.683423</v>
      </c>
      <c r="V48" s="0" t="n">
        <v>563.619701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R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5" activeCellId="0" sqref="F15"/>
    </sheetView>
  </sheetViews>
  <sheetFormatPr defaultRowHeight="12.8"/>
  <cols>
    <col collapsed="false" hidden="false" max="5" min="1" style="0" width="11.5204081632653"/>
    <col collapsed="false" hidden="false" max="6" min="6" style="0" width="15.8928571428571"/>
    <col collapsed="false" hidden="false" max="7" min="7" style="0" width="18"/>
    <col collapsed="false" hidden="false" max="8" min="8" style="0" width="11.5204081632653"/>
    <col collapsed="false" hidden="false" max="9" min="9" style="0" width="12.8979591836735"/>
    <col collapsed="false" hidden="false" max="11" min="10" style="0" width="18"/>
    <col collapsed="false" hidden="false" max="12" min="12" style="0" width="12.8979591836735"/>
    <col collapsed="false" hidden="false" max="1025" min="13" style="0" width="11.5204081632653"/>
  </cols>
  <sheetData>
    <row r="7" customFormat="false" ht="12.8" hidden="false" customHeight="false" outlineLevel="0" collapsed="false">
      <c r="E7" s="1"/>
      <c r="F7" s="20" t="s">
        <v>125</v>
      </c>
      <c r="G7" s="20"/>
      <c r="H7" s="20"/>
      <c r="I7" s="20"/>
      <c r="K7" s="21" t="s">
        <v>126</v>
      </c>
      <c r="L7" s="21"/>
      <c r="M7" s="21"/>
    </row>
    <row r="8" customFormat="false" ht="12.8" hidden="false" customHeight="false" outlineLevel="0" collapsed="false">
      <c r="E8" s="1" t="s">
        <v>127</v>
      </c>
      <c r="F8" s="1" t="s">
        <v>128</v>
      </c>
      <c r="G8" s="1" t="s">
        <v>105</v>
      </c>
      <c r="H8" s="1" t="s">
        <v>106</v>
      </c>
      <c r="I8" s="1" t="s">
        <v>107</v>
      </c>
      <c r="J8" s="1" t="s">
        <v>127</v>
      </c>
      <c r="K8" s="22" t="s">
        <v>105</v>
      </c>
      <c r="L8" s="22" t="s">
        <v>106</v>
      </c>
      <c r="M8" s="22" t="s">
        <v>107</v>
      </c>
      <c r="O8" s="1" t="s">
        <v>127</v>
      </c>
      <c r="P8" s="22" t="s">
        <v>105</v>
      </c>
      <c r="Q8" s="22" t="s">
        <v>106</v>
      </c>
      <c r="R8" s="22" t="s">
        <v>107</v>
      </c>
    </row>
    <row r="9" customFormat="false" ht="12.8" hidden="false" customHeight="false" outlineLevel="0" collapsed="false">
      <c r="D9" s="0" t="n">
        <v>6</v>
      </c>
      <c r="E9" s="1" t="n">
        <v>5</v>
      </c>
      <c r="F9" s="5" t="n">
        <f aca="false">'SS Rod Radial Profile_10'!C31</f>
        <v>92.3834112916388</v>
      </c>
      <c r="G9" s="5" t="n">
        <f aca="false">'SS Rod Radial Profile_5'!C32</f>
        <v>88.2662746296296</v>
      </c>
      <c r="H9" s="0" t="n">
        <f aca="false">'SS Rod Radial Profile_5'!C33</f>
        <v>88.448237037037</v>
      </c>
      <c r="I9" s="0" t="n">
        <f aca="false">'SS Rod Radial Profile_5'!C34</f>
        <v>88.2357335185186</v>
      </c>
      <c r="J9" s="1" t="n">
        <v>5</v>
      </c>
      <c r="K9" s="23" t="n">
        <f aca="false">ABS(G9-$F9)/$F9</f>
        <v>0.0445657570384808</v>
      </c>
      <c r="L9" s="23" t="n">
        <f aca="false">ABS(H9-$F9)/$F9</f>
        <v>0.0425961133019778</v>
      </c>
      <c r="M9" s="23" t="n">
        <f aca="false">ABS(I9-$F9)/$F9</f>
        <v>0.044896347895476</v>
      </c>
      <c r="O9" s="1" t="n">
        <f aca="false">LN(J9)</f>
        <v>1.6094379124341</v>
      </c>
      <c r="P9" s="0" t="n">
        <f aca="false">LN(K9)</f>
        <v>-3.11078949425594</v>
      </c>
      <c r="Q9" s="0" t="n">
        <f aca="false">LN(L9)</f>
        <v>-3.15599226691194</v>
      </c>
      <c r="R9" s="0" t="n">
        <f aca="false">LN(M9)</f>
        <v>-3.10339882617292</v>
      </c>
    </row>
    <row r="10" customFormat="false" ht="12.8" hidden="false" customHeight="false" outlineLevel="0" collapsed="false">
      <c r="D10" s="0" t="n">
        <v>12</v>
      </c>
      <c r="E10" s="1" t="n">
        <v>10</v>
      </c>
      <c r="F10" s="5" t="n">
        <f aca="false">F9</f>
        <v>92.3834112916388</v>
      </c>
      <c r="G10" s="5" t="n">
        <f aca="false">'SS Rod Radial Profile_10'!C32</f>
        <v>90.4744131481482</v>
      </c>
      <c r="H10" s="0" t="n">
        <f aca="false">'SS Rod Radial Profile_10'!C33</f>
        <v>90.6358887037038</v>
      </c>
      <c r="I10" s="0" t="n">
        <f aca="false">'SS Rod Radial Profile_10'!C34</f>
        <v>90.4457681481481</v>
      </c>
      <c r="J10" s="1" t="n">
        <v>10</v>
      </c>
      <c r="K10" s="23" t="n">
        <f aca="false">ABS(G10-$F10)/$F10</f>
        <v>0.0206638628818788</v>
      </c>
      <c r="L10" s="23" t="n">
        <f aca="false">ABS(H10-$F10)/$F10</f>
        <v>0.0189159781339794</v>
      </c>
      <c r="M10" s="23" t="n">
        <f aca="false">ABS(I10-$F10)/$F10</f>
        <v>0.0209739293710846</v>
      </c>
      <c r="O10" s="1" t="n">
        <f aca="false">LN(J10)</f>
        <v>2.30258509299405</v>
      </c>
      <c r="P10" s="0" t="n">
        <f aca="false">LN(K10)</f>
        <v>-3.87936885881462</v>
      </c>
      <c r="Q10" s="0" t="n">
        <f aca="false">LN(L10)</f>
        <v>-3.9677483101549</v>
      </c>
      <c r="R10" s="0" t="n">
        <f aca="false">LN(M10)</f>
        <v>-3.86447507102651</v>
      </c>
    </row>
    <row r="11" customFormat="false" ht="12.8" hidden="false" customHeight="false" outlineLevel="0" collapsed="false">
      <c r="D11" s="0" t="n">
        <v>48</v>
      </c>
      <c r="E11" s="1" t="n">
        <v>20</v>
      </c>
      <c r="F11" s="5" t="n">
        <f aca="false">F10</f>
        <v>92.3834112916388</v>
      </c>
      <c r="G11" s="5" t="n">
        <f aca="false">'SS Rod Radial Profile_20'!C32</f>
        <v>91.480617037037</v>
      </c>
      <c r="H11" s="0" t="n">
        <f aca="false">'SS Rod Radial Profile_20'!C34</f>
        <v>91.4526696296297</v>
      </c>
      <c r="I11" s="0" t="n">
        <f aca="false">'SS Rod Radial Profile_20'!C34</f>
        <v>91.4526696296297</v>
      </c>
      <c r="J11" s="1" t="n">
        <v>20</v>
      </c>
      <c r="K11" s="23" t="n">
        <f aca="false">ABS(G11-$F11)/$F11</f>
        <v>0.00977225501829393</v>
      </c>
      <c r="L11" s="23" t="n">
        <f aca="false">ABS(H11-$F11)/$F11</f>
        <v>0.0100747704484626</v>
      </c>
      <c r="M11" s="23" t="n">
        <f aca="false">ABS(I11-$F11)/$F11</f>
        <v>0.0100747704484626</v>
      </c>
      <c r="O11" s="1" t="n">
        <f aca="false">LN(J11)</f>
        <v>2.99573227355399</v>
      </c>
      <c r="P11" s="0" t="n">
        <f aca="false">LN(K11)</f>
        <v>-4.62820802908988</v>
      </c>
      <c r="Q11" s="0" t="n">
        <f aca="false">LN(L11)</f>
        <v>-4.59772095568066</v>
      </c>
      <c r="R11" s="0" t="n">
        <f aca="false">LN(M11)</f>
        <v>-4.59772095568066</v>
      </c>
    </row>
    <row r="12" customFormat="false" ht="12.8" hidden="false" customHeight="false" outlineLevel="0" collapsed="false">
      <c r="E12" s="1"/>
      <c r="F12" s="5"/>
      <c r="G12" s="5"/>
    </row>
    <row r="15" customFormat="false" ht="12.8" hidden="false" customHeight="false" outlineLevel="0" collapsed="false">
      <c r="F15" s="1"/>
    </row>
    <row r="16" customFormat="false" ht="12.8" hidden="false" customHeight="false" outlineLevel="0" collapsed="false">
      <c r="F16" s="1"/>
      <c r="L16" s="24"/>
      <c r="M16" s="1"/>
    </row>
    <row r="17" customFormat="false" ht="12.8" hidden="false" customHeight="false" outlineLevel="0" collapsed="false">
      <c r="F17" s="1"/>
      <c r="G17" s="1"/>
      <c r="H17" s="1"/>
      <c r="I17" s="1"/>
      <c r="J17" s="1"/>
      <c r="K17" s="1"/>
      <c r="L17" s="1"/>
      <c r="M17" s="1"/>
    </row>
    <row r="18" customFormat="false" ht="12.8" hidden="false" customHeight="false" outlineLevel="0" collapsed="false">
      <c r="F18" s="1"/>
      <c r="G18" s="5"/>
      <c r="H18" s="5"/>
      <c r="I18" s="1"/>
      <c r="J18" s="1"/>
      <c r="K18" s="1"/>
      <c r="L18" s="1"/>
      <c r="M18" s="1"/>
    </row>
    <row r="19" customFormat="false" ht="12.8" hidden="false" customHeight="false" outlineLevel="0" collapsed="false">
      <c r="F19" s="1"/>
      <c r="G19" s="5"/>
      <c r="H19" s="5"/>
      <c r="I19" s="1"/>
      <c r="J19" s="1"/>
      <c r="K19" s="22" t="s">
        <v>105</v>
      </c>
      <c r="L19" s="22" t="s">
        <v>106</v>
      </c>
      <c r="M19" s="22" t="s">
        <v>107</v>
      </c>
    </row>
    <row r="20" customFormat="false" ht="12.8" hidden="false" customHeight="false" outlineLevel="0" collapsed="false">
      <c r="F20" s="1"/>
      <c r="G20" s="5"/>
      <c r="H20" s="5"/>
      <c r="I20" s="1"/>
      <c r="J20" s="0" t="s">
        <v>129</v>
      </c>
      <c r="K20" s="0" t="n">
        <f aca="false">LN((K11-K10)/(K10-K9))/LN(0.5)</f>
        <v>1.13390800587923</v>
      </c>
      <c r="L20" s="0" t="n">
        <f aca="false">LN((L11-L10)/(L10-L9))/LN(0.5)</f>
        <v>1.42136195949689</v>
      </c>
      <c r="M20" s="0" t="n">
        <f aca="false">LN((M11-M10)/(M10-M9))/LN(0.5)</f>
        <v>1.13414644350105</v>
      </c>
      <c r="P20" s="0" t="n">
        <f aca="false">SLOPE(P9:P11,$O9:$O11)</f>
        <v>-1.09458609757896</v>
      </c>
      <c r="Q20" s="0" t="n">
        <f aca="false">SLOPE(Q9:Q11,$O9:$O11)</f>
        <v>-1.03998741479699</v>
      </c>
      <c r="R20" s="0" t="n">
        <f aca="false">SLOPE(R9:R11,$O9:$O11)</f>
        <v>-1.07792556286573</v>
      </c>
    </row>
  </sheetData>
  <mergeCells count="2">
    <mergeCell ref="F7:I7"/>
    <mergeCell ref="K7:M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2015-03-08T19:04:55Z</dcterms:created>
  <dc:language>en-US</dc:language>
  <dcterms:modified xsi:type="dcterms:W3CDTF">2015-03-22T17:57:49Z</dcterms:modified>
  <cp:revision>698</cp:revision>
</cp:coreProperties>
</file>