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0" yWindow="8640" windowWidth="20220" windowHeight="8200" tabRatio="751" activeTab="3"/>
  </bookViews>
  <sheets>
    <sheet name="Problem_Setup" sheetId="1" r:id="rId1"/>
    <sheet name="SS Rod Radial Profile_5" sheetId="2" r:id="rId2"/>
    <sheet name="SS Rod Radial Profile_10" sheetId="3" r:id="rId3"/>
    <sheet name="SS Rod Radial Profile_20" sheetId="4" r:id="rId4"/>
    <sheet name="Fuel_Centerline_Temperature" sheetId="5" r:id="rId5"/>
  </sheets>
  <definedNames>
    <definedName name="A_surf">Problem_Setup!$D$13</definedName>
    <definedName name="cp_in">Problem_Setup!$D$34</definedName>
    <definedName name="delta_clad">Problem_Setup!$H$34</definedName>
    <definedName name="delta_fluid">Problem_Setup!$H$35</definedName>
    <definedName name="delta_gap">Problem_Setup!$H$33</definedName>
    <definedName name="dT_clad">Problem_Setup!$H$34</definedName>
    <definedName name="dT_gap">Problem_Setup!$H$34</definedName>
    <definedName name="dz">Problem_Setup!$D$7</definedName>
    <definedName name="heat_gen">Problem_Setup!$D$26</definedName>
    <definedName name="hgap">Problem_Setup!$H$10</definedName>
    <definedName name="htc">Problem_Setup!$H$23</definedName>
    <definedName name="k_clad">Problem_Setup!$H$5</definedName>
    <definedName name="k_fuel">Problem_Setup!$H$4</definedName>
    <definedName name="L_chan">Problem_Setup!$D$6</definedName>
    <definedName name="M_dot">Problem_Setup!$D$30</definedName>
    <definedName name="Naxial">Problem_Setup!$D$5</definedName>
    <definedName name="q_dot">Problem_Setup!$D$25</definedName>
    <definedName name="q_lin">Problem_Setup!$D$23</definedName>
    <definedName name="R_fuel">Problem_Setup!$D$9</definedName>
    <definedName name="R_rod">Problem_Setup!$D$8</definedName>
    <definedName name="Rho_fuel">Problem_Setup!$H$6</definedName>
    <definedName name="t_btu_kw">Problem_Setup!$N$5</definedName>
    <definedName name="t_ft_m">Problem_Setup!$N$6</definedName>
    <definedName name="t_gap">Problem_Setup!$H$34</definedName>
    <definedName name="t_htc">Problem_Setup!$N$8</definedName>
    <definedName name="t_in">Problem_Setup!$D$32</definedName>
    <definedName name="t_R_K">Problem_Setup!$N$7</definedName>
    <definedName name="vol_fuel">Problem_Setup!$D$17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4" l="1"/>
  <c r="N7" i="1"/>
  <c r="C34" i="4"/>
  <c r="I11" i="5"/>
  <c r="D9" i="1"/>
  <c r="D25" i="1"/>
  <c r="C30" i="3"/>
  <c r="D7" i="1"/>
  <c r="H28" i="1"/>
  <c r="H33" i="1"/>
  <c r="D8" i="1"/>
  <c r="D10" i="1"/>
  <c r="H29" i="1"/>
  <c r="H34" i="1"/>
  <c r="C31" i="3"/>
  <c r="F9" i="5"/>
  <c r="F10" i="5"/>
  <c r="F11" i="5"/>
  <c r="M11" i="5"/>
  <c r="C28" i="3"/>
  <c r="C34" i="3"/>
  <c r="I10" i="5"/>
  <c r="M10" i="5"/>
  <c r="C28" i="2"/>
  <c r="C34" i="2"/>
  <c r="I9" i="5"/>
  <c r="M9" i="5"/>
  <c r="M20" i="5"/>
  <c r="H11" i="5"/>
  <c r="L11" i="5"/>
  <c r="C27" i="3"/>
  <c r="C33" i="3"/>
  <c r="H10" i="5"/>
  <c r="L10" i="5"/>
  <c r="C27" i="2"/>
  <c r="C33" i="2"/>
  <c r="H9" i="5"/>
  <c r="L9" i="5"/>
  <c r="L20" i="5"/>
  <c r="C26" i="4"/>
  <c r="C32" i="4"/>
  <c r="G11" i="5"/>
  <c r="K11" i="5"/>
  <c r="C26" i="3"/>
  <c r="C32" i="3"/>
  <c r="G10" i="5"/>
  <c r="K10" i="5"/>
  <c r="C26" i="2"/>
  <c r="C32" i="2"/>
  <c r="G9" i="5"/>
  <c r="K9" i="5"/>
  <c r="K20" i="5"/>
  <c r="R11" i="5"/>
  <c r="Q11" i="5"/>
  <c r="P11" i="5"/>
  <c r="O11" i="5"/>
  <c r="R10" i="5"/>
  <c r="Q10" i="5"/>
  <c r="P10" i="5"/>
  <c r="O10" i="5"/>
  <c r="R9" i="5"/>
  <c r="Q9" i="5"/>
  <c r="P9" i="5"/>
  <c r="O9" i="5"/>
  <c r="O34" i="4"/>
  <c r="Z25" i="4"/>
  <c r="Z26" i="4"/>
  <c r="Z27" i="4"/>
  <c r="Z28" i="4"/>
  <c r="Z41" i="4"/>
  <c r="Z34" i="4"/>
  <c r="O41" i="4"/>
  <c r="O30" i="4"/>
  <c r="O31" i="4"/>
  <c r="Z38" i="4"/>
  <c r="O30" i="3"/>
  <c r="D13" i="1"/>
  <c r="N8" i="1"/>
  <c r="H23" i="1"/>
  <c r="H30" i="1"/>
  <c r="H35" i="1"/>
  <c r="Z31" i="4"/>
  <c r="O38" i="4"/>
  <c r="AO41" i="4"/>
  <c r="N34" i="4"/>
  <c r="N41" i="4"/>
  <c r="N30" i="4"/>
  <c r="N31" i="4"/>
  <c r="N38" i="4"/>
  <c r="AN41" i="4"/>
  <c r="M34" i="4"/>
  <c r="M41" i="4"/>
  <c r="M30" i="4"/>
  <c r="M31" i="4"/>
  <c r="M38" i="4"/>
  <c r="AM41" i="4"/>
  <c r="L34" i="4"/>
  <c r="L41" i="4"/>
  <c r="L30" i="4"/>
  <c r="L31" i="4"/>
  <c r="L38" i="4"/>
  <c r="AL41" i="4"/>
  <c r="K34" i="4"/>
  <c r="K41" i="4"/>
  <c r="K30" i="4"/>
  <c r="K31" i="4"/>
  <c r="K38" i="4"/>
  <c r="AK41" i="4"/>
  <c r="J34" i="4"/>
  <c r="J41" i="4"/>
  <c r="J30" i="4"/>
  <c r="J31" i="4"/>
  <c r="J38" i="4"/>
  <c r="AJ41" i="4"/>
  <c r="I34" i="4"/>
  <c r="I41" i="4"/>
  <c r="I30" i="4"/>
  <c r="I31" i="4"/>
  <c r="I38" i="4"/>
  <c r="AI41" i="4"/>
  <c r="H34" i="4"/>
  <c r="H41" i="4"/>
  <c r="H30" i="4"/>
  <c r="H31" i="4"/>
  <c r="H38" i="4"/>
  <c r="AH41" i="4"/>
  <c r="G34" i="4"/>
  <c r="G41" i="4"/>
  <c r="G30" i="4"/>
  <c r="G31" i="4"/>
  <c r="G38" i="4"/>
  <c r="AG41" i="4"/>
  <c r="F34" i="4"/>
  <c r="F41" i="4"/>
  <c r="F30" i="4"/>
  <c r="F31" i="4"/>
  <c r="F38" i="4"/>
  <c r="AF41" i="4"/>
  <c r="E34" i="4"/>
  <c r="E41" i="4"/>
  <c r="E30" i="4"/>
  <c r="E31" i="4"/>
  <c r="E38" i="4"/>
  <c r="AE41" i="4"/>
  <c r="D34" i="4"/>
  <c r="D41" i="4"/>
  <c r="D30" i="4"/>
  <c r="D31" i="4"/>
  <c r="D38" i="4"/>
  <c r="AD41" i="4"/>
  <c r="C41" i="4"/>
  <c r="C30" i="4"/>
  <c r="C31" i="4"/>
  <c r="C38" i="4"/>
  <c r="AC41" i="4"/>
  <c r="Y34" i="4"/>
  <c r="Y41" i="4"/>
  <c r="X34" i="4"/>
  <c r="X41" i="4"/>
  <c r="W34" i="4"/>
  <c r="W41" i="4"/>
  <c r="V34" i="4"/>
  <c r="V41" i="4"/>
  <c r="U34" i="4"/>
  <c r="U41" i="4"/>
  <c r="T34" i="4"/>
  <c r="T41" i="4"/>
  <c r="S34" i="4"/>
  <c r="S41" i="4"/>
  <c r="R34" i="4"/>
  <c r="R41" i="4"/>
  <c r="Q34" i="4"/>
  <c r="Q41" i="4"/>
  <c r="P34" i="4"/>
  <c r="P41" i="4"/>
  <c r="O33" i="4"/>
  <c r="Z40" i="4"/>
  <c r="Z33" i="4"/>
  <c r="O40" i="4"/>
  <c r="AO40" i="4"/>
  <c r="N33" i="4"/>
  <c r="N40" i="4"/>
  <c r="AN40" i="4"/>
  <c r="M33" i="4"/>
  <c r="M40" i="4"/>
  <c r="AM40" i="4"/>
  <c r="L33" i="4"/>
  <c r="L40" i="4"/>
  <c r="AL40" i="4"/>
  <c r="K33" i="4"/>
  <c r="K40" i="4"/>
  <c r="AK40" i="4"/>
  <c r="J33" i="4"/>
  <c r="J40" i="4"/>
  <c r="AJ40" i="4"/>
  <c r="I33" i="4"/>
  <c r="I40" i="4"/>
  <c r="AI40" i="4"/>
  <c r="H33" i="4"/>
  <c r="H40" i="4"/>
  <c r="AH40" i="4"/>
  <c r="G33" i="4"/>
  <c r="G40" i="4"/>
  <c r="AG40" i="4"/>
  <c r="F33" i="4"/>
  <c r="F40" i="4"/>
  <c r="AF40" i="4"/>
  <c r="E33" i="4"/>
  <c r="E40" i="4"/>
  <c r="AE40" i="4"/>
  <c r="D33" i="4"/>
  <c r="D40" i="4"/>
  <c r="AD40" i="4"/>
  <c r="C27" i="4"/>
  <c r="C33" i="4"/>
  <c r="C40" i="4"/>
  <c r="AC40" i="4"/>
  <c r="Y33" i="4"/>
  <c r="Y40" i="4"/>
  <c r="X33" i="4"/>
  <c r="X40" i="4"/>
  <c r="W33" i="4"/>
  <c r="W40" i="4"/>
  <c r="V33" i="4"/>
  <c r="V40" i="4"/>
  <c r="U33" i="4"/>
  <c r="U40" i="4"/>
  <c r="T33" i="4"/>
  <c r="T40" i="4"/>
  <c r="S33" i="4"/>
  <c r="S40" i="4"/>
  <c r="R33" i="4"/>
  <c r="R40" i="4"/>
  <c r="Q33" i="4"/>
  <c r="Q40" i="4"/>
  <c r="P33" i="4"/>
  <c r="P40" i="4"/>
  <c r="O32" i="4"/>
  <c r="Z39" i="4"/>
  <c r="Z32" i="4"/>
  <c r="O39" i="4"/>
  <c r="AO39" i="4"/>
  <c r="N32" i="4"/>
  <c r="N39" i="4"/>
  <c r="AN39" i="4"/>
  <c r="M32" i="4"/>
  <c r="M39" i="4"/>
  <c r="AM39" i="4"/>
  <c r="L32" i="4"/>
  <c r="L39" i="4"/>
  <c r="AL39" i="4"/>
  <c r="K32" i="4"/>
  <c r="K39" i="4"/>
  <c r="AK39" i="4"/>
  <c r="J32" i="4"/>
  <c r="J39" i="4"/>
  <c r="AJ39" i="4"/>
  <c r="I32" i="4"/>
  <c r="I39" i="4"/>
  <c r="AI39" i="4"/>
  <c r="H32" i="4"/>
  <c r="H39" i="4"/>
  <c r="AH39" i="4"/>
  <c r="G32" i="4"/>
  <c r="G39" i="4"/>
  <c r="AG39" i="4"/>
  <c r="F32" i="4"/>
  <c r="F39" i="4"/>
  <c r="AF39" i="4"/>
  <c r="E32" i="4"/>
  <c r="E39" i="4"/>
  <c r="AE39" i="4"/>
  <c r="D32" i="4"/>
  <c r="D39" i="4"/>
  <c r="AD39" i="4"/>
  <c r="C39" i="4"/>
  <c r="AC39" i="4"/>
  <c r="Y32" i="4"/>
  <c r="Y39" i="4"/>
  <c r="X32" i="4"/>
  <c r="X39" i="4"/>
  <c r="W32" i="4"/>
  <c r="W39" i="4"/>
  <c r="V32" i="4"/>
  <c r="V39" i="4"/>
  <c r="U32" i="4"/>
  <c r="U39" i="4"/>
  <c r="T32" i="4"/>
  <c r="T39" i="4"/>
  <c r="S32" i="4"/>
  <c r="S39" i="4"/>
  <c r="R32" i="4"/>
  <c r="R39" i="4"/>
  <c r="Q32" i="4"/>
  <c r="Q39" i="4"/>
  <c r="P32" i="4"/>
  <c r="P39" i="4"/>
  <c r="Y38" i="4"/>
  <c r="X31" i="4"/>
  <c r="X38" i="4"/>
  <c r="W31" i="4"/>
  <c r="W38" i="4"/>
  <c r="V30" i="4"/>
  <c r="V31" i="4"/>
  <c r="V38" i="4"/>
  <c r="U30" i="4"/>
  <c r="U31" i="4"/>
  <c r="U38" i="4"/>
  <c r="T30" i="4"/>
  <c r="T31" i="4"/>
  <c r="T38" i="4"/>
  <c r="S30" i="4"/>
  <c r="S31" i="4"/>
  <c r="S38" i="4"/>
  <c r="R30" i="4"/>
  <c r="R31" i="4"/>
  <c r="R38" i="4"/>
  <c r="Q30" i="4"/>
  <c r="Q31" i="4"/>
  <c r="Q38" i="4"/>
  <c r="P30" i="4"/>
  <c r="P31" i="4"/>
  <c r="P38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Y30" i="4"/>
  <c r="X30" i="4"/>
  <c r="W30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E12" i="4"/>
  <c r="E9" i="4"/>
  <c r="C22" i="4"/>
  <c r="D22" i="4"/>
  <c r="E22" i="4"/>
  <c r="E19" i="4"/>
  <c r="F22" i="4"/>
  <c r="E11" i="4"/>
  <c r="C21" i="4"/>
  <c r="D21" i="4"/>
  <c r="E21" i="4"/>
  <c r="F21" i="4"/>
  <c r="E10" i="4"/>
  <c r="C20" i="4"/>
  <c r="D20" i="4"/>
  <c r="E20" i="4"/>
  <c r="F20" i="4"/>
  <c r="C19" i="4"/>
  <c r="D19" i="4"/>
  <c r="C11" i="4"/>
  <c r="C12" i="4"/>
  <c r="O34" i="3"/>
  <c r="P24" i="3"/>
  <c r="P25" i="3"/>
  <c r="P26" i="3"/>
  <c r="P27" i="3"/>
  <c r="P41" i="3"/>
  <c r="P34" i="3"/>
  <c r="O41" i="3"/>
  <c r="P38" i="3"/>
  <c r="P31" i="3"/>
  <c r="O38" i="3"/>
  <c r="AD41" i="3"/>
  <c r="N34" i="3"/>
  <c r="N41" i="3"/>
  <c r="N31" i="3"/>
  <c r="N38" i="3"/>
  <c r="AC41" i="3"/>
  <c r="M34" i="3"/>
  <c r="M41" i="3"/>
  <c r="M31" i="3"/>
  <c r="M38" i="3"/>
  <c r="AB41" i="3"/>
  <c r="L34" i="3"/>
  <c r="L41" i="3"/>
  <c r="L30" i="3"/>
  <c r="L31" i="3"/>
  <c r="L38" i="3"/>
  <c r="AA41" i="3"/>
  <c r="K34" i="3"/>
  <c r="K41" i="3"/>
  <c r="K30" i="3"/>
  <c r="K31" i="3"/>
  <c r="K38" i="3"/>
  <c r="Z41" i="3"/>
  <c r="J34" i="3"/>
  <c r="J41" i="3"/>
  <c r="J30" i="3"/>
  <c r="J31" i="3"/>
  <c r="J38" i="3"/>
  <c r="Y41" i="3"/>
  <c r="I34" i="3"/>
  <c r="I41" i="3"/>
  <c r="I30" i="3"/>
  <c r="I31" i="3"/>
  <c r="I38" i="3"/>
  <c r="X41" i="3"/>
  <c r="H34" i="3"/>
  <c r="H41" i="3"/>
  <c r="H30" i="3"/>
  <c r="H31" i="3"/>
  <c r="H38" i="3"/>
  <c r="W41" i="3"/>
  <c r="G34" i="3"/>
  <c r="G41" i="3"/>
  <c r="G30" i="3"/>
  <c r="G31" i="3"/>
  <c r="G38" i="3"/>
  <c r="V41" i="3"/>
  <c r="F34" i="3"/>
  <c r="F41" i="3"/>
  <c r="F30" i="3"/>
  <c r="F31" i="3"/>
  <c r="F38" i="3"/>
  <c r="U41" i="3"/>
  <c r="E34" i="3"/>
  <c r="E41" i="3"/>
  <c r="E30" i="3"/>
  <c r="E31" i="3"/>
  <c r="E38" i="3"/>
  <c r="T41" i="3"/>
  <c r="D34" i="3"/>
  <c r="D41" i="3"/>
  <c r="D30" i="3"/>
  <c r="D31" i="3"/>
  <c r="D38" i="3"/>
  <c r="S41" i="3"/>
  <c r="C41" i="3"/>
  <c r="C38" i="3"/>
  <c r="R41" i="3"/>
  <c r="O33" i="3"/>
  <c r="P40" i="3"/>
  <c r="P33" i="3"/>
  <c r="O40" i="3"/>
  <c r="AD40" i="3"/>
  <c r="N33" i="3"/>
  <c r="N40" i="3"/>
  <c r="AC40" i="3"/>
  <c r="M33" i="3"/>
  <c r="M40" i="3"/>
  <c r="AB40" i="3"/>
  <c r="L33" i="3"/>
  <c r="L40" i="3"/>
  <c r="AA40" i="3"/>
  <c r="K33" i="3"/>
  <c r="K40" i="3"/>
  <c r="Z40" i="3"/>
  <c r="J33" i="3"/>
  <c r="J40" i="3"/>
  <c r="Y40" i="3"/>
  <c r="I33" i="3"/>
  <c r="I40" i="3"/>
  <c r="X40" i="3"/>
  <c r="H33" i="3"/>
  <c r="H40" i="3"/>
  <c r="W40" i="3"/>
  <c r="G33" i="3"/>
  <c r="G40" i="3"/>
  <c r="V40" i="3"/>
  <c r="F33" i="3"/>
  <c r="F40" i="3"/>
  <c r="U40" i="3"/>
  <c r="E33" i="3"/>
  <c r="E40" i="3"/>
  <c r="T40" i="3"/>
  <c r="D33" i="3"/>
  <c r="D40" i="3"/>
  <c r="S40" i="3"/>
  <c r="C40" i="3"/>
  <c r="R40" i="3"/>
  <c r="O32" i="3"/>
  <c r="P39" i="3"/>
  <c r="P32" i="3"/>
  <c r="O39" i="3"/>
  <c r="AD39" i="3"/>
  <c r="N32" i="3"/>
  <c r="N39" i="3"/>
  <c r="AC39" i="3"/>
  <c r="M32" i="3"/>
  <c r="M39" i="3"/>
  <c r="AB39" i="3"/>
  <c r="L32" i="3"/>
  <c r="L39" i="3"/>
  <c r="AA39" i="3"/>
  <c r="K32" i="3"/>
  <c r="K39" i="3"/>
  <c r="Z39" i="3"/>
  <c r="J32" i="3"/>
  <c r="J39" i="3"/>
  <c r="Y39" i="3"/>
  <c r="I32" i="3"/>
  <c r="I39" i="3"/>
  <c r="X39" i="3"/>
  <c r="H32" i="3"/>
  <c r="H39" i="3"/>
  <c r="W39" i="3"/>
  <c r="G32" i="3"/>
  <c r="G39" i="3"/>
  <c r="V39" i="3"/>
  <c r="F32" i="3"/>
  <c r="F39" i="3"/>
  <c r="U39" i="3"/>
  <c r="E32" i="3"/>
  <c r="E39" i="3"/>
  <c r="T39" i="3"/>
  <c r="D32" i="3"/>
  <c r="D39" i="3"/>
  <c r="S39" i="3"/>
  <c r="C39" i="3"/>
  <c r="R39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N30" i="3"/>
  <c r="M30" i="3"/>
  <c r="D24" i="3"/>
  <c r="P29" i="3"/>
  <c r="O24" i="3"/>
  <c r="N24" i="3"/>
  <c r="M24" i="3"/>
  <c r="L24" i="3"/>
  <c r="K24" i="3"/>
  <c r="J24" i="3"/>
  <c r="I24" i="3"/>
  <c r="H24" i="3"/>
  <c r="G24" i="3"/>
  <c r="F24" i="3"/>
  <c r="E24" i="3"/>
  <c r="E12" i="3"/>
  <c r="E9" i="3"/>
  <c r="C22" i="3"/>
  <c r="D22" i="3"/>
  <c r="E22" i="3"/>
  <c r="E19" i="3"/>
  <c r="F22" i="3"/>
  <c r="E11" i="3"/>
  <c r="C21" i="3"/>
  <c r="D21" i="3"/>
  <c r="E21" i="3"/>
  <c r="F21" i="3"/>
  <c r="E10" i="3"/>
  <c r="C20" i="3"/>
  <c r="D20" i="3"/>
  <c r="E20" i="3"/>
  <c r="F20" i="3"/>
  <c r="C19" i="3"/>
  <c r="D19" i="3"/>
  <c r="C11" i="3"/>
  <c r="C12" i="3"/>
  <c r="J34" i="2"/>
  <c r="K25" i="2"/>
  <c r="K26" i="2"/>
  <c r="K27" i="2"/>
  <c r="K28" i="2"/>
  <c r="K41" i="2"/>
  <c r="K34" i="2"/>
  <c r="J41" i="2"/>
  <c r="K38" i="2"/>
  <c r="K31" i="2"/>
  <c r="J38" i="2"/>
  <c r="Y41" i="2"/>
  <c r="I34" i="2"/>
  <c r="I41" i="2"/>
  <c r="I31" i="2"/>
  <c r="I38" i="2"/>
  <c r="X41" i="2"/>
  <c r="H34" i="2"/>
  <c r="H41" i="2"/>
  <c r="H31" i="2"/>
  <c r="H38" i="2"/>
  <c r="W41" i="2"/>
  <c r="V41" i="2"/>
  <c r="F34" i="2"/>
  <c r="F41" i="2"/>
  <c r="F30" i="2"/>
  <c r="F31" i="2"/>
  <c r="F38" i="2"/>
  <c r="U41" i="2"/>
  <c r="E34" i="2"/>
  <c r="E41" i="2"/>
  <c r="E30" i="2"/>
  <c r="E31" i="2"/>
  <c r="E38" i="2"/>
  <c r="T41" i="2"/>
  <c r="D34" i="2"/>
  <c r="D41" i="2"/>
  <c r="D30" i="2"/>
  <c r="D31" i="2"/>
  <c r="D38" i="2"/>
  <c r="S41" i="2"/>
  <c r="C41" i="2"/>
  <c r="C30" i="2"/>
  <c r="C31" i="2"/>
  <c r="C38" i="2"/>
  <c r="R41" i="2"/>
  <c r="G34" i="2"/>
  <c r="G41" i="2"/>
  <c r="G30" i="2"/>
  <c r="G31" i="2"/>
  <c r="G38" i="2"/>
  <c r="Q41" i="2"/>
  <c r="P41" i="2"/>
  <c r="O41" i="2"/>
  <c r="N41" i="2"/>
  <c r="M41" i="2"/>
  <c r="J33" i="2"/>
  <c r="K40" i="2"/>
  <c r="K33" i="2"/>
  <c r="J40" i="2"/>
  <c r="Y40" i="2"/>
  <c r="I33" i="2"/>
  <c r="I40" i="2"/>
  <c r="X40" i="2"/>
  <c r="H33" i="2"/>
  <c r="H40" i="2"/>
  <c r="W40" i="2"/>
  <c r="V40" i="2"/>
  <c r="F33" i="2"/>
  <c r="F40" i="2"/>
  <c r="U40" i="2"/>
  <c r="E33" i="2"/>
  <c r="E40" i="2"/>
  <c r="T40" i="2"/>
  <c r="D33" i="2"/>
  <c r="D40" i="2"/>
  <c r="S40" i="2"/>
  <c r="C40" i="2"/>
  <c r="R40" i="2"/>
  <c r="G33" i="2"/>
  <c r="G40" i="2"/>
  <c r="Q40" i="2"/>
  <c r="P40" i="2"/>
  <c r="O40" i="2"/>
  <c r="N40" i="2"/>
  <c r="M40" i="2"/>
  <c r="J32" i="2"/>
  <c r="K39" i="2"/>
  <c r="K32" i="2"/>
  <c r="J39" i="2"/>
  <c r="Y39" i="2"/>
  <c r="I32" i="2"/>
  <c r="I39" i="2"/>
  <c r="X39" i="2"/>
  <c r="H32" i="2"/>
  <c r="H39" i="2"/>
  <c r="W39" i="2"/>
  <c r="V39" i="2"/>
  <c r="F32" i="2"/>
  <c r="F39" i="2"/>
  <c r="U39" i="2"/>
  <c r="E32" i="2"/>
  <c r="E39" i="2"/>
  <c r="T39" i="2"/>
  <c r="D32" i="2"/>
  <c r="D39" i="2"/>
  <c r="S39" i="2"/>
  <c r="C39" i="2"/>
  <c r="R39" i="2"/>
  <c r="G32" i="2"/>
  <c r="G39" i="2"/>
  <c r="Q39" i="2"/>
  <c r="P39" i="2"/>
  <c r="O39" i="2"/>
  <c r="N39" i="2"/>
  <c r="M39" i="2"/>
  <c r="J37" i="2"/>
  <c r="I37" i="2"/>
  <c r="H37" i="2"/>
  <c r="G37" i="2"/>
  <c r="F37" i="2"/>
  <c r="E37" i="2"/>
  <c r="D37" i="2"/>
  <c r="C37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J30" i="2"/>
  <c r="I30" i="2"/>
  <c r="H30" i="2"/>
  <c r="D24" i="2"/>
  <c r="K29" i="2"/>
  <c r="J24" i="2"/>
  <c r="I24" i="2"/>
  <c r="H24" i="2"/>
  <c r="G24" i="2"/>
  <c r="F24" i="2"/>
  <c r="E24" i="2"/>
  <c r="E12" i="2"/>
  <c r="E9" i="2"/>
  <c r="C22" i="2"/>
  <c r="D22" i="2"/>
  <c r="E22" i="2"/>
  <c r="E19" i="2"/>
  <c r="F22" i="2"/>
  <c r="E11" i="2"/>
  <c r="C21" i="2"/>
  <c r="D21" i="2"/>
  <c r="E21" i="2"/>
  <c r="F21" i="2"/>
  <c r="E10" i="2"/>
  <c r="C20" i="2"/>
  <c r="D20" i="2"/>
  <c r="E20" i="2"/>
  <c r="F20" i="2"/>
  <c r="C19" i="2"/>
  <c r="D19" i="2"/>
  <c r="C11" i="2"/>
  <c r="C12" i="2"/>
  <c r="D24" i="1"/>
  <c r="B37" i="1"/>
  <c r="D37" i="1"/>
  <c r="D26" i="1"/>
  <c r="H24" i="1"/>
  <c r="H18" i="1"/>
  <c r="D17" i="1"/>
  <c r="D18" i="1"/>
  <c r="D15" i="1"/>
  <c r="D14" i="1"/>
  <c r="D11" i="1"/>
  <c r="P20" i="5"/>
  <c r="Q20" i="5"/>
  <c r="R20" i="5"/>
</calcChain>
</file>

<file path=xl/sharedStrings.xml><?xml version="1.0" encoding="utf-8"?>
<sst xmlns="http://schemas.openxmlformats.org/spreadsheetml/2006/main" count="333" uniqueCount="130">
  <si>
    <t>Geometry</t>
  </si>
  <si>
    <t>Solid  Properties</t>
  </si>
  <si>
    <t>Unit Conversions</t>
  </si>
  <si>
    <t>Nradial</t>
  </si>
  <si>
    <t>k_fuel</t>
  </si>
  <si>
    <t>W/m-k</t>
  </si>
  <si>
    <t>FROM</t>
  </si>
  <si>
    <t>TO</t>
  </si>
  <si>
    <t>TO/FROM</t>
  </si>
  <si>
    <t>Naxial</t>
  </si>
  <si>
    <t>k_clad</t>
  </si>
  <si>
    <t>BTU/sec</t>
  </si>
  <si>
    <t>KW</t>
  </si>
  <si>
    <t>L_chan</t>
  </si>
  <si>
    <t>m</t>
  </si>
  <si>
    <t>rho_fuel</t>
  </si>
  <si>
    <t>kg/m^3</t>
  </si>
  <si>
    <t>ft</t>
  </si>
  <si>
    <t>dz</t>
  </si>
  <si>
    <t>rho_clad</t>
  </si>
  <si>
    <t>R</t>
  </si>
  <si>
    <t>K</t>
  </si>
  <si>
    <t>r_rod</t>
  </si>
  <si>
    <t>cm</t>
  </si>
  <si>
    <t>cp_fuel</t>
  </si>
  <si>
    <t>kJ/kg-K</t>
  </si>
  <si>
    <t>BTU/hr-ft^2-F</t>
  </si>
  <si>
    <t>W/m^2-K</t>
  </si>
  <si>
    <t>r_fuel</t>
  </si>
  <si>
    <t>cp_clad</t>
  </si>
  <si>
    <t>t_clad</t>
  </si>
  <si>
    <t>hgap</t>
  </si>
  <si>
    <t>t_gap</t>
  </si>
  <si>
    <t>pitch</t>
  </si>
  <si>
    <t>A_surf</t>
  </si>
  <si>
    <t>m^2</t>
  </si>
  <si>
    <t>A_mom</t>
  </si>
  <si>
    <t>wett. Perimeter</t>
  </si>
  <si>
    <t>Dittus-Boetler</t>
  </si>
  <si>
    <t>hyd. Diameter</t>
  </si>
  <si>
    <t>m</t>
  </si>
  <si>
    <t>kl</t>
  </si>
  <si>
    <t>btu/hr-ft-F</t>
  </si>
  <si>
    <t>volume fuel</t>
  </si>
  <si>
    <t>m^3</t>
  </si>
  <si>
    <t>De</t>
  </si>
  <si>
    <t>Ft^2</t>
  </si>
  <si>
    <t>mass fuel</t>
  </si>
  <si>
    <t>kg</t>
  </si>
  <si>
    <t>L/D</t>
  </si>
  <si>
    <t>L/D&gt;10</t>
  </si>
  <si>
    <t>Nu</t>
  </si>
  <si>
    <t>Re</t>
  </si>
  <si>
    <t>Re&gt;10000</t>
  </si>
  <si>
    <t>Pr</t>
  </si>
  <si>
    <t>0.6&gt;Pr&gt;6.1</t>
  </si>
  <si>
    <t>Rod Power</t>
  </si>
  <si>
    <t>htc</t>
  </si>
  <si>
    <t>btu/sec-ft^2-F</t>
  </si>
  <si>
    <t>q'</t>
  </si>
  <si>
    <t>kW/m</t>
  </si>
  <si>
    <t>q</t>
  </si>
  <si>
    <t>kW</t>
  </si>
  <si>
    <t>Tw-Tf</t>
  </si>
  <si>
    <t>q_dot</t>
  </si>
  <si>
    <t>kW/m^3</t>
  </si>
  <si>
    <t>q''</t>
  </si>
  <si>
    <t>kW/m^2</t>
  </si>
  <si>
    <t>Thermal Resistances</t>
  </si>
  <si>
    <t>R_gap</t>
  </si>
  <si>
    <t>K/W</t>
  </si>
  <si>
    <t>Fluid Condtions</t>
  </si>
  <si>
    <t>R_clad</t>
  </si>
  <si>
    <t>m_dot</t>
  </si>
  <si>
    <t>kg/sec</t>
  </si>
  <si>
    <t>R_fluid</t>
  </si>
  <si>
    <t>Pref</t>
  </si>
  <si>
    <t>Mpa</t>
  </si>
  <si>
    <t>T_in</t>
  </si>
  <si>
    <t>C</t>
  </si>
  <si>
    <t>Temperature Drops</t>
  </si>
  <si>
    <t>h_in</t>
  </si>
  <si>
    <t>kJ/kg</t>
  </si>
  <si>
    <t>T_gap</t>
  </si>
  <si>
    <t>cp_in</t>
  </si>
  <si>
    <t>kJ/kg-k</t>
  </si>
  <si>
    <t>T_clad</t>
  </si>
  <si>
    <t>kl_in</t>
  </si>
  <si>
    <t>W/m-K</t>
  </si>
  <si>
    <t>T_fluid</t>
  </si>
  <si>
    <t>mu_in</t>
  </si>
  <si>
    <t>Pa-s</t>
  </si>
  <si>
    <t>cp_bar</t>
  </si>
  <si>
    <t>T_out</t>
  </si>
  <si>
    <t>cp_out</t>
  </si>
  <si>
    <t>kl_out</t>
  </si>
  <si>
    <t>mu_out</t>
  </si>
  <si>
    <t>AXIAL LEVEL 3 10 Radial Nodes</t>
  </si>
  <si>
    <t>Fluid Energy Balance</t>
  </si>
  <si>
    <t>Raw Data</t>
  </si>
  <si>
    <t>flow rate</t>
  </si>
  <si>
    <t>enthalpy</t>
  </si>
  <si>
    <t>lbm/sec</t>
  </si>
  <si>
    <t>btu/lbm</t>
  </si>
  <si>
    <t>Inlet</t>
  </si>
  <si>
    <t>Semi-implicit Trans</t>
  </si>
  <si>
    <t>Implicit SS</t>
  </si>
  <si>
    <t>Implicit Trans</t>
  </si>
  <si>
    <t>Output</t>
  </si>
  <si>
    <t>Enthalpy Change</t>
  </si>
  <si>
    <t>Total Power</t>
  </si>
  <si>
    <t>Rod Energy Rate</t>
  </si>
  <si>
    <t>Analytical</t>
  </si>
  <si>
    <t>Error</t>
  </si>
  <si>
    <t>dr [ft]</t>
  </si>
  <si>
    <t>FLUID</t>
  </si>
  <si>
    <t>r [ft]</t>
  </si>
  <si>
    <t>T(r) [F]</t>
  </si>
  <si>
    <t>Relative Temperature Difference</t>
  </si>
  <si>
    <t>r [cm]</t>
  </si>
  <si>
    <t>Difference</t>
  </si>
  <si>
    <t>T(r)-T(s) [C]</t>
  </si>
  <si>
    <t>Absolute Temperature Difference</t>
  </si>
  <si>
    <t>Relative Difference</t>
  </si>
  <si>
    <t>DATA</t>
  </si>
  <si>
    <t>Axial Centerline Temperature [K]</t>
  </si>
  <si>
    <t>Fuel Centerline Temperature Error [%]</t>
  </si>
  <si>
    <t>NR</t>
  </si>
  <si>
    <t>EXACT</t>
  </si>
  <si>
    <t>Order of Accuracies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</si>
</sst>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"/>
    <numFmt numFmtId="165" formatCode="0.000"/>
    <numFmt numFmtId="166" formatCode="0.00000"/>
    <numFmt numFmtId="167" formatCode="0.0000"/>
    <numFmt numFmtId="168" formatCode="0.00E+000"/>
    <numFmt numFmtId="169" formatCode="0.0000E+00"/>
    <numFmt numFmtId="170" formatCode="0.000000E+00"/>
    <numFmt numFmtId="171" formatCode="0.00000000"/>
    <numFmt numFmtId="172" formatCode="0.000%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/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Relative Temperature Difference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Profile_5'!$B$31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Profile_5'!$C$31:$J$31</c:f>
              <c:numCache>
                <c:formatCode>0.000</c:formatCode>
                <c:ptCount val="8"/>
                <c:pt idx="0">
                  <c:v>92.38341129163882</c:v>
                </c:pt>
                <c:pt idx="1">
                  <c:v>90.9217313744396</c:v>
                </c:pt>
                <c:pt idx="2">
                  <c:v>85.07501170564271</c:v>
                </c:pt>
                <c:pt idx="3">
                  <c:v>73.38157236804895</c:v>
                </c:pt>
                <c:pt idx="4">
                  <c:v>55.84141336165801</c:v>
                </c:pt>
                <c:pt idx="5">
                  <c:v>33.18576308171949</c:v>
                </c:pt>
                <c:pt idx="6">
                  <c:v>5.814058678433464</c:v>
                </c:pt>
                <c:pt idx="7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Profile_5'!$B$32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Profile_5'!$C$32:$J$32</c:f>
              <c:numCache>
                <c:formatCode>0.000</c:formatCode>
                <c:ptCount val="8"/>
                <c:pt idx="0">
                  <c:v>88.2662746296296</c:v>
                </c:pt>
                <c:pt idx="1">
                  <c:v>86.5543261111111</c:v>
                </c:pt>
                <c:pt idx="2">
                  <c:v>81.41848055555556</c:v>
                </c:pt>
                <c:pt idx="3">
                  <c:v>70.9436561111111</c:v>
                </c:pt>
                <c:pt idx="4">
                  <c:v>54.48638277777775</c:v>
                </c:pt>
                <c:pt idx="5">
                  <c:v>32.26015611111108</c:v>
                </c:pt>
                <c:pt idx="6">
                  <c:v>5.479050000000016</c:v>
                </c:pt>
                <c:pt idx="7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Profile_5'!$B$33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Profile_5'!$C$33:$J$33</c:f>
              <c:numCache>
                <c:formatCode>0.000</c:formatCode>
                <c:ptCount val="8"/>
                <c:pt idx="0">
                  <c:v>88.44823703703696</c:v>
                </c:pt>
                <c:pt idx="1">
                  <c:v>86.73207944444439</c:v>
                </c:pt>
                <c:pt idx="2">
                  <c:v>81.58360666666663</c:v>
                </c:pt>
                <c:pt idx="3">
                  <c:v>71.0842905555555</c:v>
                </c:pt>
                <c:pt idx="4">
                  <c:v>54.59194666666665</c:v>
                </c:pt>
                <c:pt idx="5">
                  <c:v>32.32435888888883</c:v>
                </c:pt>
                <c:pt idx="6">
                  <c:v>5.490174444444418</c:v>
                </c:pt>
                <c:pt idx="7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'SS Rod Radial Profile_5'!$B$34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Profile_5'!$C$34:$J$34</c:f>
              <c:numCache>
                <c:formatCode>0.000</c:formatCode>
                <c:ptCount val="8"/>
                <c:pt idx="0">
                  <c:v>88.23573351851856</c:v>
                </c:pt>
                <c:pt idx="1">
                  <c:v>86.52449166666669</c:v>
                </c:pt>
                <c:pt idx="2">
                  <c:v>81.39076611111111</c:v>
                </c:pt>
                <c:pt idx="3">
                  <c:v>70.9200522222222</c:v>
                </c:pt>
                <c:pt idx="4">
                  <c:v>54.46866499999999</c:v>
                </c:pt>
                <c:pt idx="5">
                  <c:v>32.24938055555558</c:v>
                </c:pt>
                <c:pt idx="6">
                  <c:v>5.477182777777772</c:v>
                </c:pt>
                <c:pt idx="7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041032"/>
        <c:axId val="2089046824"/>
      </c:scatterChart>
      <c:valAx>
        <c:axId val="208904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046824"/>
        <c:crossesAt val="0.0"/>
        <c:crossBetween val="midCat"/>
      </c:valAx>
      <c:valAx>
        <c:axId val="2089046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041032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Profile_5'!$L$39:$L$39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Profile_5'!$D$30:$I$30</c:f>
              <c:numCache>
                <c:formatCode>0.000</c:formatCode>
                <c:ptCount val="6"/>
                <c:pt idx="0">
                  <c:v>0.0643626417348321</c:v>
                </c:pt>
                <c:pt idx="1">
                  <c:v>0.14391924213055</c:v>
                </c:pt>
                <c:pt idx="2">
                  <c:v>0.232062804999256</c:v>
                </c:pt>
                <c:pt idx="3">
                  <c:v>0.321813208674162</c:v>
                </c:pt>
                <c:pt idx="4">
                  <c:v>0.409601343832022</c:v>
                </c:pt>
                <c:pt idx="5">
                  <c:v>0.418001371391077</c:v>
                </c:pt>
              </c:numCache>
            </c:numRef>
          </c:xVal>
          <c:yVal>
            <c:numRef>
              <c:f>'SS Rod Radial Profile_5'!$M$39:$W$39</c:f>
              <c:numCache>
                <c:formatCode>0.000%</c:formatCode>
                <c:ptCount val="11"/>
                <c:pt idx="0">
                  <c:v>-0.00975528488791987</c:v>
                </c:pt>
                <c:pt idx="1">
                  <c:v>-0.0104409095243081</c:v>
                </c:pt>
                <c:pt idx="2">
                  <c:v>-0.00873071289849088</c:v>
                </c:pt>
                <c:pt idx="3">
                  <c:v>-0.0056989889990771</c:v>
                </c:pt>
                <c:pt idx="4">
                  <c:v>-0.00289655597781537</c:v>
                </c:pt>
                <c:pt idx="5">
                  <c:v>-0.00975528488791987</c:v>
                </c:pt>
                <c:pt idx="6">
                  <c:v>-0.0104409095243081</c:v>
                </c:pt>
                <c:pt idx="7">
                  <c:v>-0.00873071289849088</c:v>
                </c:pt>
                <c:pt idx="8">
                  <c:v>-0.0056989889990771</c:v>
                </c:pt>
                <c:pt idx="9">
                  <c:v>-0.00178769298620832</c:v>
                </c:pt>
                <c:pt idx="10">
                  <c:v>-0.00178769298620832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Profile_5'!$L$41:$L$41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square"/>
            <c:size val="7"/>
          </c:marker>
          <c:xVal>
            <c:numRef>
              <c:f>'SS Rod Radial Profile_5'!$D$30:$I$30</c:f>
              <c:numCache>
                <c:formatCode>0.000</c:formatCode>
                <c:ptCount val="6"/>
                <c:pt idx="0">
                  <c:v>0.0643626417348321</c:v>
                </c:pt>
                <c:pt idx="1">
                  <c:v>0.14391924213055</c:v>
                </c:pt>
                <c:pt idx="2">
                  <c:v>0.232062804999256</c:v>
                </c:pt>
                <c:pt idx="3">
                  <c:v>0.321813208674162</c:v>
                </c:pt>
                <c:pt idx="4">
                  <c:v>0.409601343832022</c:v>
                </c:pt>
                <c:pt idx="5">
                  <c:v>0.418001371391077</c:v>
                </c:pt>
              </c:numCache>
            </c:numRef>
          </c:xVal>
          <c:yVal>
            <c:numRef>
              <c:f>'SS Rod Radial Profile_5'!$M$41:$W$41</c:f>
              <c:numCache>
                <c:formatCode>0.000%</c:formatCode>
                <c:ptCount val="11"/>
                <c:pt idx="0">
                  <c:v>-0.00983879143172039</c:v>
                </c:pt>
                <c:pt idx="1">
                  <c:v>-0.0105229008361075</c:v>
                </c:pt>
                <c:pt idx="2">
                  <c:v>-0.00880838648633849</c:v>
                </c:pt>
                <c:pt idx="3">
                  <c:v>-0.0057679673402441</c:v>
                </c:pt>
                <c:pt idx="4">
                  <c:v>-0.00295220186724832</c:v>
                </c:pt>
                <c:pt idx="5">
                  <c:v>-0.00983879143172039</c:v>
                </c:pt>
                <c:pt idx="6">
                  <c:v>-0.0105229008361075</c:v>
                </c:pt>
                <c:pt idx="7">
                  <c:v>-0.00880838648633849</c:v>
                </c:pt>
                <c:pt idx="8">
                  <c:v>-0.0057679673402441</c:v>
                </c:pt>
                <c:pt idx="9">
                  <c:v>-0.00182602157989472</c:v>
                </c:pt>
                <c:pt idx="10">
                  <c:v>-0.00182602157989472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Profile_5'!$L$40:$L$40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triangle"/>
            <c:size val="7"/>
          </c:marker>
          <c:xVal>
            <c:numRef>
              <c:f>'SS Rod Radial Profile_5'!$D$30:$I$30</c:f>
              <c:numCache>
                <c:formatCode>0.000</c:formatCode>
                <c:ptCount val="6"/>
                <c:pt idx="0">
                  <c:v>0.0643626417348321</c:v>
                </c:pt>
                <c:pt idx="1">
                  <c:v>0.14391924213055</c:v>
                </c:pt>
                <c:pt idx="2">
                  <c:v>0.232062804999256</c:v>
                </c:pt>
                <c:pt idx="3">
                  <c:v>0.321813208674162</c:v>
                </c:pt>
                <c:pt idx="4">
                  <c:v>0.409601343832022</c:v>
                </c:pt>
                <c:pt idx="5">
                  <c:v>0.418001371391077</c:v>
                </c:pt>
              </c:numCache>
            </c:numRef>
          </c:xVal>
          <c:yVal>
            <c:numRef>
              <c:f>'SS Rod Radial Profile_5'!$M$40:$W$40</c:f>
              <c:numCache>
                <c:formatCode>0.000%</c:formatCode>
                <c:ptCount val="11"/>
                <c:pt idx="0">
                  <c:v>-0.00925768220875679</c:v>
                </c:pt>
                <c:pt idx="1">
                  <c:v>-0.0099523311003013</c:v>
                </c:pt>
                <c:pt idx="2">
                  <c:v>-0.00826784849529081</c:v>
                </c:pt>
                <c:pt idx="3">
                  <c:v>-0.00528793082339592</c:v>
                </c:pt>
                <c:pt idx="4">
                  <c:v>-0.00256493143991109</c:v>
                </c:pt>
                <c:pt idx="5">
                  <c:v>-0.00925768220875679</c:v>
                </c:pt>
                <c:pt idx="6">
                  <c:v>-0.0099523311003013</c:v>
                </c:pt>
                <c:pt idx="7">
                  <c:v>-0.00826784849529081</c:v>
                </c:pt>
                <c:pt idx="8">
                  <c:v>-0.00528793082339592</c:v>
                </c:pt>
                <c:pt idx="9">
                  <c:v>-0.00155923695717334</c:v>
                </c:pt>
                <c:pt idx="10">
                  <c:v>-0.00155923695717334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241768"/>
        <c:axId val="2079245016"/>
      </c:scatterChart>
      <c:valAx>
        <c:axId val="2079241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9245016"/>
        <c:crossesAt val="0.0"/>
        <c:crossBetween val="midCat"/>
      </c:valAx>
      <c:valAx>
        <c:axId val="20792450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9241768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Temperature Profile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Profile_5'!$B$38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Profile_5'!$C$37:$J$37</c:f>
              <c:numCache>
                <c:formatCode>0.00000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Profile_5'!$C$38:$J$38</c:f>
              <c:numCache>
                <c:formatCode>0.000</c:formatCode>
                <c:ptCount val="8"/>
                <c:pt idx="0">
                  <c:v>387.281691753449</c:v>
                </c:pt>
                <c:pt idx="1">
                  <c:v>385.8200118362498</c:v>
                </c:pt>
                <c:pt idx="2">
                  <c:v>379.9732921674529</c:v>
                </c:pt>
                <c:pt idx="3">
                  <c:v>368.2798528298591</c:v>
                </c:pt>
                <c:pt idx="4">
                  <c:v>350.7396938234682</c:v>
                </c:pt>
                <c:pt idx="5">
                  <c:v>328.0840435435297</c:v>
                </c:pt>
                <c:pt idx="6">
                  <c:v>300.7123391402437</c:v>
                </c:pt>
                <c:pt idx="7">
                  <c:v>294.8982804618102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Profile_5'!$B$39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Profile_5'!$C$37:$J$37</c:f>
              <c:numCache>
                <c:formatCode>0.00000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Profile_5'!$C$39:$J$39</c:f>
              <c:numCache>
                <c:formatCode>0.000</c:formatCode>
                <c:ptCount val="8"/>
                <c:pt idx="0">
                  <c:v>383.5036485185186</c:v>
                </c:pt>
                <c:pt idx="1">
                  <c:v>381.7917</c:v>
                </c:pt>
                <c:pt idx="2">
                  <c:v>376.6558544444445</c:v>
                </c:pt>
                <c:pt idx="3">
                  <c:v>366.1810300000001</c:v>
                </c:pt>
                <c:pt idx="4">
                  <c:v>349.7237566666667</c:v>
                </c:pt>
                <c:pt idx="5">
                  <c:v>327.49753</c:v>
                </c:pt>
                <c:pt idx="6">
                  <c:v>300.716423888889</c:v>
                </c:pt>
                <c:pt idx="7">
                  <c:v>295.237373888889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Profile_5'!$B$40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Profile_5'!$C$37:$J$37</c:f>
              <c:numCache>
                <c:formatCode>0.00000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Profile_5'!$C$40:$J$40</c:f>
              <c:numCache>
                <c:formatCode>0.000</c:formatCode>
                <c:ptCount val="8"/>
                <c:pt idx="0">
                  <c:v>383.6963609259259</c:v>
                </c:pt>
                <c:pt idx="1">
                  <c:v>381.9802033333332</c:v>
                </c:pt>
                <c:pt idx="2">
                  <c:v>376.8317305555556</c:v>
                </c:pt>
                <c:pt idx="3">
                  <c:v>366.3324144444445</c:v>
                </c:pt>
                <c:pt idx="4">
                  <c:v>349.8400705555556</c:v>
                </c:pt>
                <c:pt idx="5">
                  <c:v>327.5724827777777</c:v>
                </c:pt>
                <c:pt idx="6">
                  <c:v>300.7382983333333</c:v>
                </c:pt>
                <c:pt idx="7">
                  <c:v>295.2481238888889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648616"/>
        <c:axId val="2079073224"/>
      </c:scatterChart>
      <c:valAx>
        <c:axId val="2078648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9073224"/>
        <c:crossesAt val="0.0"/>
        <c:crossBetween val="midCat"/>
      </c:valAx>
      <c:valAx>
        <c:axId val="2079073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8648616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Relative Temperature Difference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Profile_5'!$B$31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Profile_5'!$C$31:$J$31</c:f>
              <c:numCache>
                <c:formatCode>0.000</c:formatCode>
                <c:ptCount val="8"/>
                <c:pt idx="0">
                  <c:v>92.38341129163882</c:v>
                </c:pt>
                <c:pt idx="1">
                  <c:v>90.9217313744396</c:v>
                </c:pt>
                <c:pt idx="2">
                  <c:v>85.07501170564271</c:v>
                </c:pt>
                <c:pt idx="3">
                  <c:v>73.38157236804895</c:v>
                </c:pt>
                <c:pt idx="4">
                  <c:v>55.84141336165801</c:v>
                </c:pt>
                <c:pt idx="5">
                  <c:v>33.18576308171949</c:v>
                </c:pt>
                <c:pt idx="6">
                  <c:v>5.814058678433464</c:v>
                </c:pt>
                <c:pt idx="7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Profile_5'!$B$32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Profile_5'!$C$32:$J$32</c:f>
              <c:numCache>
                <c:formatCode>0.000</c:formatCode>
                <c:ptCount val="8"/>
                <c:pt idx="0">
                  <c:v>88.2662746296296</c:v>
                </c:pt>
                <c:pt idx="1">
                  <c:v>86.5543261111111</c:v>
                </c:pt>
                <c:pt idx="2">
                  <c:v>81.41848055555556</c:v>
                </c:pt>
                <c:pt idx="3">
                  <c:v>70.9436561111111</c:v>
                </c:pt>
                <c:pt idx="4">
                  <c:v>54.48638277777775</c:v>
                </c:pt>
                <c:pt idx="5">
                  <c:v>32.26015611111108</c:v>
                </c:pt>
                <c:pt idx="6">
                  <c:v>5.479050000000016</c:v>
                </c:pt>
                <c:pt idx="7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Profile_5'!$B$33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Profile_5'!$C$33:$J$33</c:f>
              <c:numCache>
                <c:formatCode>0.000</c:formatCode>
                <c:ptCount val="8"/>
                <c:pt idx="0">
                  <c:v>88.44823703703696</c:v>
                </c:pt>
                <c:pt idx="1">
                  <c:v>86.73207944444439</c:v>
                </c:pt>
                <c:pt idx="2">
                  <c:v>81.58360666666663</c:v>
                </c:pt>
                <c:pt idx="3">
                  <c:v>71.0842905555555</c:v>
                </c:pt>
                <c:pt idx="4">
                  <c:v>54.59194666666665</c:v>
                </c:pt>
                <c:pt idx="5">
                  <c:v>32.32435888888883</c:v>
                </c:pt>
                <c:pt idx="6">
                  <c:v>5.490174444444418</c:v>
                </c:pt>
                <c:pt idx="7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'SS Rod Radial Profile_5'!$B$34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numRef>
              <c:f>'SS Rod Radial Profile_5'!$C$30:$J$30</c:f>
              <c:numCache>
                <c:formatCode>0.000</c:formatCode>
                <c:ptCount val="8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  <c:pt idx="7">
                  <c:v>0.475001558398949</c:v>
                </c:pt>
              </c:numCache>
            </c:numRef>
          </c:xVal>
          <c:yVal>
            <c:numRef>
              <c:f>'SS Rod Radial Profile_5'!$C$34:$J$34</c:f>
              <c:numCache>
                <c:formatCode>0.000</c:formatCode>
                <c:ptCount val="8"/>
                <c:pt idx="0">
                  <c:v>88.23573351851856</c:v>
                </c:pt>
                <c:pt idx="1">
                  <c:v>86.52449166666669</c:v>
                </c:pt>
                <c:pt idx="2">
                  <c:v>81.39076611111111</c:v>
                </c:pt>
                <c:pt idx="3">
                  <c:v>70.9200522222222</c:v>
                </c:pt>
                <c:pt idx="4">
                  <c:v>54.46866499999999</c:v>
                </c:pt>
                <c:pt idx="5">
                  <c:v>32.24938055555558</c:v>
                </c:pt>
                <c:pt idx="6">
                  <c:v>5.477182777777772</c:v>
                </c:pt>
                <c:pt idx="7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668024"/>
        <c:axId val="2078673816"/>
      </c:scatterChart>
      <c:valAx>
        <c:axId val="207866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8673816"/>
        <c:crossesAt val="0.0"/>
        <c:crossBetween val="midCat"/>
      </c:valAx>
      <c:valAx>
        <c:axId val="20786738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8668024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Profile_5'!$L$31:$L$31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Profile_5'!$C$30:$I$30</c:f>
              <c:numCache>
                <c:formatCode>0.000</c:formatCode>
                <c:ptCount val="7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</c:numCache>
            </c:numRef>
          </c:xVal>
          <c:yVal>
            <c:numRef>
              <c:f>'SS Rod Radial Profile_5'!$M$31:$Y$31</c:f>
              <c:numCache>
                <c:formatCode>0.00</c:formatCode>
                <c:ptCount val="13"/>
                <c:pt idx="0">
                  <c:v>-4.117136662009216</c:v>
                </c:pt>
                <c:pt idx="1">
                  <c:v>-4.367405263328507</c:v>
                </c:pt>
                <c:pt idx="2">
                  <c:v>-3.656531150087147</c:v>
                </c:pt>
                <c:pt idx="3">
                  <c:v>-2.43791625693784</c:v>
                </c:pt>
                <c:pt idx="4">
                  <c:v>-1.355030583880264</c:v>
                </c:pt>
                <c:pt idx="5">
                  <c:v>-4.117136662009216</c:v>
                </c:pt>
                <c:pt idx="6">
                  <c:v>-4.367405263328507</c:v>
                </c:pt>
                <c:pt idx="7">
                  <c:v>-3.656531150087147</c:v>
                </c:pt>
                <c:pt idx="8">
                  <c:v>-2.43791625693784</c:v>
                </c:pt>
                <c:pt idx="9">
                  <c:v>-0.925606970608399</c:v>
                </c:pt>
                <c:pt idx="10">
                  <c:v>-0.925606970608399</c:v>
                </c:pt>
                <c:pt idx="11">
                  <c:v>-0.335008678433447</c:v>
                </c:pt>
                <c:pt idx="12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Profile_5'!$L$32:$L$32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xVal>
            <c:numRef>
              <c:f>'SS Rod Radial Profile_5'!$C$30:$I$30</c:f>
              <c:numCache>
                <c:formatCode>0.000</c:formatCode>
                <c:ptCount val="7"/>
                <c:pt idx="0">
                  <c:v>0.0</c:v>
                </c:pt>
                <c:pt idx="1">
                  <c:v>0.0643626417348321</c:v>
                </c:pt>
                <c:pt idx="2">
                  <c:v>0.14391924213055</c:v>
                </c:pt>
                <c:pt idx="3">
                  <c:v>0.232062804999256</c:v>
                </c:pt>
                <c:pt idx="4">
                  <c:v>0.321813208674162</c:v>
                </c:pt>
                <c:pt idx="5">
                  <c:v>0.409601343832022</c:v>
                </c:pt>
                <c:pt idx="6">
                  <c:v>0.418001371391077</c:v>
                </c:pt>
              </c:numCache>
            </c:numRef>
          </c:xVal>
          <c:yVal>
            <c:numRef>
              <c:f>'SS Rod Radial Profile_5'!$M$32:$Y$32</c:f>
              <c:numCache>
                <c:formatCode>0.00</c:formatCode>
                <c:ptCount val="13"/>
                <c:pt idx="0">
                  <c:v>-3.935174254601861</c:v>
                </c:pt>
                <c:pt idx="1">
                  <c:v>-4.189651929995208</c:v>
                </c:pt>
                <c:pt idx="2">
                  <c:v>-3.491405038976083</c:v>
                </c:pt>
                <c:pt idx="3">
                  <c:v>-2.297281812493452</c:v>
                </c:pt>
                <c:pt idx="4">
                  <c:v>-1.249466694991362</c:v>
                </c:pt>
                <c:pt idx="5">
                  <c:v>-3.935174254601861</c:v>
                </c:pt>
                <c:pt idx="6">
                  <c:v>-4.189651929995208</c:v>
                </c:pt>
                <c:pt idx="7">
                  <c:v>-3.491405038976083</c:v>
                </c:pt>
                <c:pt idx="8">
                  <c:v>-2.297281812493452</c:v>
                </c:pt>
                <c:pt idx="9">
                  <c:v>-0.861404192830648</c:v>
                </c:pt>
                <c:pt idx="10">
                  <c:v>-0.861404192830648</c:v>
                </c:pt>
                <c:pt idx="11">
                  <c:v>-0.323884233989046</c:v>
                </c:pt>
                <c:pt idx="12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796392"/>
        <c:axId val="2055688648"/>
      </c:scatterChart>
      <c:valAx>
        <c:axId val="2057796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55688648"/>
        <c:crossesAt val="0.0"/>
        <c:crossBetween val="midCat"/>
      </c:valAx>
      <c:valAx>
        <c:axId val="20556886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57796392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Relative Temperature Difference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Profile_10'!$B$31:$B$31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Profile_10'!$C$31:$O$31</c:f>
              <c:numCache>
                <c:formatCode>0.000</c:formatCode>
                <c:ptCount val="13"/>
                <c:pt idx="0">
                  <c:v>92.38341129163882</c:v>
                </c:pt>
                <c:pt idx="1">
                  <c:v>92.05544432960798</c:v>
                </c:pt>
                <c:pt idx="2">
                  <c:v>90.74357648148458</c:v>
                </c:pt>
                <c:pt idx="3">
                  <c:v>88.11984078523778</c:v>
                </c:pt>
                <c:pt idx="4">
                  <c:v>84.18423724086758</c:v>
                </c:pt>
                <c:pt idx="5">
                  <c:v>78.93676584837396</c:v>
                </c:pt>
                <c:pt idx="6">
                  <c:v>72.377426607757</c:v>
                </c:pt>
                <c:pt idx="7">
                  <c:v>64.5062195190166</c:v>
                </c:pt>
                <c:pt idx="8">
                  <c:v>55.32314458215286</c:v>
                </c:pt>
                <c:pt idx="9">
                  <c:v>44.82820179716587</c:v>
                </c:pt>
                <c:pt idx="10">
                  <c:v>33.18576308171949</c:v>
                </c:pt>
                <c:pt idx="11">
                  <c:v>5.814058678433464</c:v>
                </c:pt>
                <c:pt idx="12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Profile_10'!$B$32:$B$32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Profile_10'!$C$32:$O$32</c:f>
              <c:numCache>
                <c:formatCode>0.000</c:formatCode>
                <c:ptCount val="13"/>
                <c:pt idx="0">
                  <c:v>90.47441314814818</c:v>
                </c:pt>
                <c:pt idx="1">
                  <c:v>90.09021888888893</c:v>
                </c:pt>
                <c:pt idx="2">
                  <c:v>88.93763611111113</c:v>
                </c:pt>
                <c:pt idx="3">
                  <c:v>86.58710500000003</c:v>
                </c:pt>
                <c:pt idx="4">
                  <c:v>82.89471888888892</c:v>
                </c:pt>
                <c:pt idx="5">
                  <c:v>77.86133388888888</c:v>
                </c:pt>
                <c:pt idx="6">
                  <c:v>71.4936927777778</c:v>
                </c:pt>
                <c:pt idx="7">
                  <c:v>63.79695722222222</c:v>
                </c:pt>
                <c:pt idx="8">
                  <c:v>54.77468722222221</c:v>
                </c:pt>
                <c:pt idx="9">
                  <c:v>44.42931444444444</c:v>
                </c:pt>
                <c:pt idx="10">
                  <c:v>32.78692555555558</c:v>
                </c:pt>
                <c:pt idx="11">
                  <c:v>5.56855333333336</c:v>
                </c:pt>
                <c:pt idx="12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Profile_10'!$B$33:$B$33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Profile_10'!$C$33:$O$33</c:f>
              <c:numCache>
                <c:formatCode>0.000</c:formatCode>
                <c:ptCount val="13"/>
                <c:pt idx="0">
                  <c:v>90.63588870370376</c:v>
                </c:pt>
                <c:pt idx="1">
                  <c:v>90.25082277777781</c:v>
                </c:pt>
                <c:pt idx="2">
                  <c:v>89.09562500000005</c:v>
                </c:pt>
                <c:pt idx="3">
                  <c:v>86.73982277777781</c:v>
                </c:pt>
                <c:pt idx="4">
                  <c:v>83.0393244444445</c:v>
                </c:pt>
                <c:pt idx="5">
                  <c:v>77.99520277777781</c:v>
                </c:pt>
                <c:pt idx="6">
                  <c:v>71.61450000000002</c:v>
                </c:pt>
                <c:pt idx="7">
                  <c:v>63.90273000000004</c:v>
                </c:pt>
                <c:pt idx="8">
                  <c:v>54.86385277777781</c:v>
                </c:pt>
                <c:pt idx="9">
                  <c:v>44.50073222222222</c:v>
                </c:pt>
                <c:pt idx="10">
                  <c:v>32.83993555555558</c:v>
                </c:pt>
                <c:pt idx="11">
                  <c:v>5.577742777777783</c:v>
                </c:pt>
                <c:pt idx="12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'SS Rod Radial Profile_10'!$B$34:$B$34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Profile_10'!$C$34:$O$34</c:f>
              <c:numCache>
                <c:formatCode>0.000</c:formatCode>
                <c:ptCount val="13"/>
                <c:pt idx="0">
                  <c:v>90.44576814814813</c:v>
                </c:pt>
                <c:pt idx="1">
                  <c:v>90.06172833333336</c:v>
                </c:pt>
                <c:pt idx="2">
                  <c:v>88.90960888888894</c:v>
                </c:pt>
                <c:pt idx="3">
                  <c:v>86.56001333333335</c:v>
                </c:pt>
                <c:pt idx="4">
                  <c:v>82.86906666666673</c:v>
                </c:pt>
                <c:pt idx="5">
                  <c:v>77.83758611111112</c:v>
                </c:pt>
                <c:pt idx="6">
                  <c:v>71.47226222222224</c:v>
                </c:pt>
                <c:pt idx="7">
                  <c:v>63.7781938888889</c:v>
                </c:pt>
                <c:pt idx="8">
                  <c:v>54.75887</c:v>
                </c:pt>
                <c:pt idx="9">
                  <c:v>44.41664555555558</c:v>
                </c:pt>
                <c:pt idx="10">
                  <c:v>32.77752222222224</c:v>
                </c:pt>
                <c:pt idx="11">
                  <c:v>5.56692333333337</c:v>
                </c:pt>
                <c:pt idx="12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98408"/>
        <c:axId val="2089076504"/>
      </c:scatterChart>
      <c:valAx>
        <c:axId val="207479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076504"/>
        <c:crossesAt val="0.0"/>
        <c:crossBetween val="midCat"/>
      </c:valAx>
      <c:valAx>
        <c:axId val="20890765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4798408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Profile_10'!$Q$39:$Q$39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Profile_10'!$D$30:$M$30</c:f>
              <c:numCache>
                <c:formatCode>0.000</c:formatCode>
                <c:ptCount val="10"/>
                <c:pt idx="0">
                  <c:v>0.0304875671375521</c:v>
                </c:pt>
                <c:pt idx="1">
                  <c:v>0.068172272588155</c:v>
                </c:pt>
                <c:pt idx="2">
                  <c:v>0.109924486578595</c:v>
                </c:pt>
                <c:pt idx="3">
                  <c:v>0.15243783568776</c:v>
                </c:pt>
                <c:pt idx="4">
                  <c:v>0.195215680078821</c:v>
                </c:pt>
                <c:pt idx="5">
                  <c:v>0.238115511355248</c:v>
                </c:pt>
                <c:pt idx="6">
                  <c:v>0.281081480619363</c:v>
                </c:pt>
                <c:pt idx="7">
                  <c:v>0.324087284147715</c:v>
                </c:pt>
                <c:pt idx="8">
                  <c:v>0.367118923164112</c:v>
                </c:pt>
                <c:pt idx="9">
                  <c:v>0.409601343832022</c:v>
                </c:pt>
              </c:numCache>
            </c:numRef>
          </c:xVal>
          <c:yVal>
            <c:numRef>
              <c:f>'SS Rod Radial Profile_10'!$R$39:$AB$39</c:f>
              <c:numCache>
                <c:formatCode>0.000%</c:formatCode>
                <c:ptCount val="11"/>
                <c:pt idx="0">
                  <c:v>-0.0038328482090476</c:v>
                </c:pt>
                <c:pt idx="1">
                  <c:v>-0.00398140433121055</c:v>
                </c:pt>
                <c:pt idx="2">
                  <c:v>-0.00358190933024172</c:v>
                </c:pt>
                <c:pt idx="3">
                  <c:v>-0.00289315183514899</c:v>
                </c:pt>
                <c:pt idx="4">
                  <c:v>-0.00228159333847336</c:v>
                </c:pt>
                <c:pt idx="5">
                  <c:v>-0.00174094366232465</c:v>
                </c:pt>
                <c:pt idx="6">
                  <c:v>-0.00125008982702935</c:v>
                </c:pt>
                <c:pt idx="7">
                  <c:v>-0.000792021502104425</c:v>
                </c:pt>
                <c:pt idx="8">
                  <c:v>-0.000353636717281326</c:v>
                </c:pt>
                <c:pt idx="9">
                  <c:v>7.5704584358736E-5</c:v>
                </c:pt>
                <c:pt idx="10">
                  <c:v>7.85429197174022E-5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Profile_10'!$Q$41:$Q$41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square"/>
            <c:size val="7"/>
          </c:marker>
          <c:xVal>
            <c:numRef>
              <c:f>'SS Rod Radial Profile_10'!$D$30:$M$30</c:f>
              <c:numCache>
                <c:formatCode>0.000</c:formatCode>
                <c:ptCount val="10"/>
                <c:pt idx="0">
                  <c:v>0.0304875671375521</c:v>
                </c:pt>
                <c:pt idx="1">
                  <c:v>0.068172272588155</c:v>
                </c:pt>
                <c:pt idx="2">
                  <c:v>0.109924486578595</c:v>
                </c:pt>
                <c:pt idx="3">
                  <c:v>0.15243783568776</c:v>
                </c:pt>
                <c:pt idx="4">
                  <c:v>0.195215680078821</c:v>
                </c:pt>
                <c:pt idx="5">
                  <c:v>0.238115511355248</c:v>
                </c:pt>
                <c:pt idx="6">
                  <c:v>0.281081480619363</c:v>
                </c:pt>
                <c:pt idx="7">
                  <c:v>0.324087284147715</c:v>
                </c:pt>
                <c:pt idx="8">
                  <c:v>0.367118923164112</c:v>
                </c:pt>
                <c:pt idx="9">
                  <c:v>0.409601343832022</c:v>
                </c:pt>
              </c:numCache>
            </c:numRef>
          </c:xVal>
          <c:yVal>
            <c:numRef>
              <c:f>'SS Rod Radial Profile_10'!$R$41:$AB$41</c:f>
              <c:numCache>
                <c:formatCode>0.000%</c:formatCode>
                <c:ptCount val="11"/>
                <c:pt idx="0">
                  <c:v>-0.00391087209415686</c:v>
                </c:pt>
                <c:pt idx="1">
                  <c:v>-0.0040590952173598</c:v>
                </c:pt>
                <c:pt idx="2">
                  <c:v>-0.00365866304333464</c:v>
                </c:pt>
                <c:pt idx="3">
                  <c:v>-0.00296798873528216</c:v>
                </c:pt>
                <c:pt idx="4">
                  <c:v>-0.00235341000944358</c:v>
                </c:pt>
                <c:pt idx="5">
                  <c:v>-0.00180867406975952</c:v>
                </c:pt>
                <c:pt idx="6">
                  <c:v>-0.00131272064451893</c:v>
                </c:pt>
                <c:pt idx="7">
                  <c:v>-0.00084860275124473</c:v>
                </c:pt>
                <c:pt idx="8">
                  <c:v>-0.000403289431824071</c:v>
                </c:pt>
                <c:pt idx="9">
                  <c:v>3.37852408432588E-5</c:v>
                </c:pt>
                <c:pt idx="10">
                  <c:v>4.5089431894404E-5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Profile_10'!$Q$40:$Q$40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triangle"/>
            <c:size val="7"/>
          </c:marker>
          <c:xVal>
            <c:numRef>
              <c:f>'SS Rod Radial Profile_10'!$D$30:$M$30</c:f>
              <c:numCache>
                <c:formatCode>0.000</c:formatCode>
                <c:ptCount val="10"/>
                <c:pt idx="0">
                  <c:v>0.0304875671375521</c:v>
                </c:pt>
                <c:pt idx="1">
                  <c:v>0.068172272588155</c:v>
                </c:pt>
                <c:pt idx="2">
                  <c:v>0.109924486578595</c:v>
                </c:pt>
                <c:pt idx="3">
                  <c:v>0.15243783568776</c:v>
                </c:pt>
                <c:pt idx="4">
                  <c:v>0.195215680078821</c:v>
                </c:pt>
                <c:pt idx="5">
                  <c:v>0.238115511355248</c:v>
                </c:pt>
                <c:pt idx="6">
                  <c:v>0.281081480619363</c:v>
                </c:pt>
                <c:pt idx="7">
                  <c:v>0.324087284147715</c:v>
                </c:pt>
                <c:pt idx="8">
                  <c:v>0.367118923164112</c:v>
                </c:pt>
                <c:pt idx="9">
                  <c:v>0.409601343832022</c:v>
                </c:pt>
              </c:numCache>
            </c:numRef>
          </c:xVal>
          <c:yVal>
            <c:numRef>
              <c:f>'SS Rod Radial Profile_10'!$R$40:$AB$40</c:f>
              <c:numCache>
                <c:formatCode>0.000%</c:formatCode>
                <c:ptCount val="11"/>
                <c:pt idx="0">
                  <c:v>-0.00339296024330305</c:v>
                </c:pt>
                <c:pt idx="1">
                  <c:v>-0.00354339617150047</c:v>
                </c:pt>
                <c:pt idx="2">
                  <c:v>-0.00314919206710139</c:v>
                </c:pt>
                <c:pt idx="3">
                  <c:v>-0.00247123243026141</c:v>
                </c:pt>
                <c:pt idx="4">
                  <c:v>-0.00187669322204031</c:v>
                </c:pt>
                <c:pt idx="5">
                  <c:v>-0.0013590803504231</c:v>
                </c:pt>
                <c:pt idx="6">
                  <c:v>-0.000896970304758314</c:v>
                </c:pt>
                <c:pt idx="7">
                  <c:v>-0.000472999960126248</c:v>
                </c:pt>
                <c:pt idx="8">
                  <c:v>-7.36693922004416E-5</c:v>
                </c:pt>
                <c:pt idx="9">
                  <c:v>0.000312079379881747</c:v>
                </c:pt>
                <c:pt idx="10">
                  <c:v>0.000267198848641847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762664"/>
        <c:axId val="2089126200"/>
      </c:scatterChart>
      <c:valAx>
        <c:axId val="2078762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126200"/>
        <c:crossesAt val="0.0"/>
        <c:crossBetween val="midCat"/>
      </c:valAx>
      <c:valAx>
        <c:axId val="2089126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8762664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Temperature Profile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Profile_10'!$B$38:$B$38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Profile_10'!$C$37:$O$37</c:f>
              <c:numCache>
                <c:formatCode>0.00000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Profile_10'!$C$38:$O$38</c:f>
              <c:numCache>
                <c:formatCode>0.000</c:formatCode>
                <c:ptCount val="13"/>
                <c:pt idx="0">
                  <c:v>387.281691753449</c:v>
                </c:pt>
                <c:pt idx="1">
                  <c:v>386.9537247914182</c:v>
                </c:pt>
                <c:pt idx="2">
                  <c:v>385.6418569432948</c:v>
                </c:pt>
                <c:pt idx="3">
                  <c:v>383.018121247048</c:v>
                </c:pt>
                <c:pt idx="4">
                  <c:v>379.0825177026778</c:v>
                </c:pt>
                <c:pt idx="5">
                  <c:v>373.8350463101842</c:v>
                </c:pt>
                <c:pt idx="6">
                  <c:v>367.2757070695672</c:v>
                </c:pt>
                <c:pt idx="7">
                  <c:v>359.4044999808268</c:v>
                </c:pt>
                <c:pt idx="8">
                  <c:v>350.2214250439631</c:v>
                </c:pt>
                <c:pt idx="9">
                  <c:v>339.7264822589761</c:v>
                </c:pt>
                <c:pt idx="10">
                  <c:v>328.0840435435297</c:v>
                </c:pt>
                <c:pt idx="11">
                  <c:v>300.7123391402437</c:v>
                </c:pt>
                <c:pt idx="12">
                  <c:v>294.8982804618102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Profile_10'!$B$39:$B$39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Profile_10'!$C$37:$O$37</c:f>
              <c:numCache>
                <c:formatCode>0.00000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Profile_10'!$C$39:$O$39</c:f>
              <c:numCache>
                <c:formatCode>0.000</c:formatCode>
                <c:ptCount val="13"/>
                <c:pt idx="0">
                  <c:v>385.7972998148149</c:v>
                </c:pt>
                <c:pt idx="1">
                  <c:v>385.4131055555556</c:v>
                </c:pt>
                <c:pt idx="2">
                  <c:v>384.2605227777779</c:v>
                </c:pt>
                <c:pt idx="3">
                  <c:v>381.9099916666668</c:v>
                </c:pt>
                <c:pt idx="4">
                  <c:v>378.2176055555556</c:v>
                </c:pt>
                <c:pt idx="5">
                  <c:v>373.1842205555556</c:v>
                </c:pt>
                <c:pt idx="6">
                  <c:v>366.8165794444445</c:v>
                </c:pt>
                <c:pt idx="7">
                  <c:v>359.119843888889</c:v>
                </c:pt>
                <c:pt idx="8">
                  <c:v>350.0975738888889</c:v>
                </c:pt>
                <c:pt idx="9">
                  <c:v>339.7522011111111</c:v>
                </c:pt>
                <c:pt idx="10">
                  <c:v>328.1098122222223</c:v>
                </c:pt>
                <c:pt idx="11">
                  <c:v>300.89144</c:v>
                </c:pt>
                <c:pt idx="12">
                  <c:v>295.3228866666667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Profile_10'!$B$40:$B$40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Profile_10'!$C$37:$O$37</c:f>
              <c:numCache>
                <c:formatCode>0.00000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Profile_10'!$C$40:$O$40</c:f>
              <c:numCache>
                <c:formatCode>0.000</c:formatCode>
                <c:ptCount val="13"/>
                <c:pt idx="0">
                  <c:v>385.9676603703704</c:v>
                </c:pt>
                <c:pt idx="1">
                  <c:v>385.5825944444445</c:v>
                </c:pt>
                <c:pt idx="2">
                  <c:v>384.4273966666667</c:v>
                </c:pt>
                <c:pt idx="3">
                  <c:v>382.0715944444445</c:v>
                </c:pt>
                <c:pt idx="4">
                  <c:v>378.3710961111112</c:v>
                </c:pt>
                <c:pt idx="5">
                  <c:v>373.3269744444445</c:v>
                </c:pt>
                <c:pt idx="6">
                  <c:v>366.9462716666667</c:v>
                </c:pt>
                <c:pt idx="7">
                  <c:v>359.2345016666667</c:v>
                </c:pt>
                <c:pt idx="8">
                  <c:v>350.1956244444445</c:v>
                </c:pt>
                <c:pt idx="9">
                  <c:v>339.8325038888889</c:v>
                </c:pt>
                <c:pt idx="10">
                  <c:v>328.1717072222223</c:v>
                </c:pt>
                <c:pt idx="11">
                  <c:v>300.9095144444444</c:v>
                </c:pt>
                <c:pt idx="12">
                  <c:v>295.3317716666667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166936"/>
        <c:axId val="2078391816"/>
      </c:scatterChart>
      <c:valAx>
        <c:axId val="208916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8391816"/>
        <c:crossesAt val="0.0"/>
        <c:crossBetween val="midCat"/>
      </c:valAx>
      <c:valAx>
        <c:axId val="20783918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166936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Relative Temperature Difference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Profile_10'!$B$31:$B$31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Profile_10'!$C$31:$O$31</c:f>
              <c:numCache>
                <c:formatCode>0.000</c:formatCode>
                <c:ptCount val="13"/>
                <c:pt idx="0">
                  <c:v>92.38341129163882</c:v>
                </c:pt>
                <c:pt idx="1">
                  <c:v>92.05544432960798</c:v>
                </c:pt>
                <c:pt idx="2">
                  <c:v>90.74357648148458</c:v>
                </c:pt>
                <c:pt idx="3">
                  <c:v>88.11984078523778</c:v>
                </c:pt>
                <c:pt idx="4">
                  <c:v>84.18423724086758</c:v>
                </c:pt>
                <c:pt idx="5">
                  <c:v>78.93676584837396</c:v>
                </c:pt>
                <c:pt idx="6">
                  <c:v>72.377426607757</c:v>
                </c:pt>
                <c:pt idx="7">
                  <c:v>64.5062195190166</c:v>
                </c:pt>
                <c:pt idx="8">
                  <c:v>55.32314458215286</c:v>
                </c:pt>
                <c:pt idx="9">
                  <c:v>44.82820179716587</c:v>
                </c:pt>
                <c:pt idx="10">
                  <c:v>33.18576308171949</c:v>
                </c:pt>
                <c:pt idx="11">
                  <c:v>5.814058678433464</c:v>
                </c:pt>
                <c:pt idx="12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Profile_10'!$B$32:$B$32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Profile_10'!$C$32:$O$32</c:f>
              <c:numCache>
                <c:formatCode>0.000</c:formatCode>
                <c:ptCount val="13"/>
                <c:pt idx="0">
                  <c:v>90.47441314814818</c:v>
                </c:pt>
                <c:pt idx="1">
                  <c:v>90.09021888888893</c:v>
                </c:pt>
                <c:pt idx="2">
                  <c:v>88.93763611111113</c:v>
                </c:pt>
                <c:pt idx="3">
                  <c:v>86.58710500000003</c:v>
                </c:pt>
                <c:pt idx="4">
                  <c:v>82.89471888888892</c:v>
                </c:pt>
                <c:pt idx="5">
                  <c:v>77.86133388888888</c:v>
                </c:pt>
                <c:pt idx="6">
                  <c:v>71.4936927777778</c:v>
                </c:pt>
                <c:pt idx="7">
                  <c:v>63.79695722222222</c:v>
                </c:pt>
                <c:pt idx="8">
                  <c:v>54.77468722222221</c:v>
                </c:pt>
                <c:pt idx="9">
                  <c:v>44.42931444444444</c:v>
                </c:pt>
                <c:pt idx="10">
                  <c:v>32.78692555555558</c:v>
                </c:pt>
                <c:pt idx="11">
                  <c:v>5.56855333333336</c:v>
                </c:pt>
                <c:pt idx="12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Profile_10'!$B$33:$B$33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Profile_10'!$C$33:$O$33</c:f>
              <c:numCache>
                <c:formatCode>0.000</c:formatCode>
                <c:ptCount val="13"/>
                <c:pt idx="0">
                  <c:v>90.63588870370376</c:v>
                </c:pt>
                <c:pt idx="1">
                  <c:v>90.25082277777781</c:v>
                </c:pt>
                <c:pt idx="2">
                  <c:v>89.09562500000005</c:v>
                </c:pt>
                <c:pt idx="3">
                  <c:v>86.73982277777781</c:v>
                </c:pt>
                <c:pt idx="4">
                  <c:v>83.0393244444445</c:v>
                </c:pt>
                <c:pt idx="5">
                  <c:v>77.99520277777781</c:v>
                </c:pt>
                <c:pt idx="6">
                  <c:v>71.61450000000002</c:v>
                </c:pt>
                <c:pt idx="7">
                  <c:v>63.90273000000004</c:v>
                </c:pt>
                <c:pt idx="8">
                  <c:v>54.86385277777781</c:v>
                </c:pt>
                <c:pt idx="9">
                  <c:v>44.50073222222222</c:v>
                </c:pt>
                <c:pt idx="10">
                  <c:v>32.83993555555558</c:v>
                </c:pt>
                <c:pt idx="11">
                  <c:v>5.577742777777783</c:v>
                </c:pt>
                <c:pt idx="12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'SS Rod Radial Profile_10'!$B$34:$B$34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numRef>
              <c:f>'SS Rod Radial Profile_10'!$C$30:$O$30</c:f>
              <c:numCache>
                <c:formatCode>0.000</c:formatCode>
                <c:ptCount val="13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  <c:pt idx="11">
                  <c:v>0.418001371391077</c:v>
                </c:pt>
                <c:pt idx="12">
                  <c:v>0.475001558398949</c:v>
                </c:pt>
              </c:numCache>
            </c:numRef>
          </c:xVal>
          <c:yVal>
            <c:numRef>
              <c:f>'SS Rod Radial Profile_10'!$C$34:$O$34</c:f>
              <c:numCache>
                <c:formatCode>0.000</c:formatCode>
                <c:ptCount val="13"/>
                <c:pt idx="0">
                  <c:v>90.44576814814813</c:v>
                </c:pt>
                <c:pt idx="1">
                  <c:v>90.06172833333336</c:v>
                </c:pt>
                <c:pt idx="2">
                  <c:v>88.90960888888894</c:v>
                </c:pt>
                <c:pt idx="3">
                  <c:v>86.56001333333335</c:v>
                </c:pt>
                <c:pt idx="4">
                  <c:v>82.86906666666673</c:v>
                </c:pt>
                <c:pt idx="5">
                  <c:v>77.83758611111112</c:v>
                </c:pt>
                <c:pt idx="6">
                  <c:v>71.47226222222224</c:v>
                </c:pt>
                <c:pt idx="7">
                  <c:v>63.7781938888889</c:v>
                </c:pt>
                <c:pt idx="8">
                  <c:v>54.75887</c:v>
                </c:pt>
                <c:pt idx="9">
                  <c:v>44.41664555555558</c:v>
                </c:pt>
                <c:pt idx="10">
                  <c:v>32.77752222222224</c:v>
                </c:pt>
                <c:pt idx="11">
                  <c:v>5.56692333333337</c:v>
                </c:pt>
                <c:pt idx="12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72360"/>
        <c:axId val="2062633304"/>
      </c:scatterChart>
      <c:valAx>
        <c:axId val="207487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62633304"/>
        <c:crossesAt val="0.0"/>
        <c:crossBetween val="midCat"/>
      </c:valAx>
      <c:valAx>
        <c:axId val="2062633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4872360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Profile_10'!$Q$31:$Q$31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Profile_10'!$C$30:$M$30</c:f>
              <c:numCache>
                <c:formatCode>0.000</c:formatCode>
                <c:ptCount val="11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</c:numCache>
            </c:numRef>
          </c:xVal>
          <c:yVal>
            <c:numRef>
              <c:f>'SS Rod Radial Profile_10'!$R$31:$AD$31</c:f>
              <c:numCache>
                <c:formatCode>0.00</c:formatCode>
                <c:ptCount val="13"/>
                <c:pt idx="0">
                  <c:v>-1.908998143490635</c:v>
                </c:pt>
                <c:pt idx="1">
                  <c:v>-1.965225440719053</c:v>
                </c:pt>
                <c:pt idx="2">
                  <c:v>-1.805940370373449</c:v>
                </c:pt>
                <c:pt idx="3">
                  <c:v>-1.532735785237747</c:v>
                </c:pt>
                <c:pt idx="4">
                  <c:v>-1.289518351978671</c:v>
                </c:pt>
                <c:pt idx="5">
                  <c:v>-1.075431959485087</c:v>
                </c:pt>
                <c:pt idx="6">
                  <c:v>-0.883733829979192</c:v>
                </c:pt>
                <c:pt idx="7">
                  <c:v>-0.709262296794378</c:v>
                </c:pt>
                <c:pt idx="8">
                  <c:v>-0.548457359930651</c:v>
                </c:pt>
                <c:pt idx="9">
                  <c:v>-0.398887352721431</c:v>
                </c:pt>
                <c:pt idx="10">
                  <c:v>-0.398837526163909</c:v>
                </c:pt>
                <c:pt idx="11">
                  <c:v>-0.245505345100104</c:v>
                </c:pt>
                <c:pt idx="12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Profile_10'!$Q$32:$Q$32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xVal>
            <c:numRef>
              <c:f>'SS Rod Radial Profile_10'!$C$30:$M$30</c:f>
              <c:numCache>
                <c:formatCode>0.000</c:formatCode>
                <c:ptCount val="11"/>
                <c:pt idx="0">
                  <c:v>0.0</c:v>
                </c:pt>
                <c:pt idx="1">
                  <c:v>0.0304875671375521</c:v>
                </c:pt>
                <c:pt idx="2">
                  <c:v>0.068172272588155</c:v>
                </c:pt>
                <c:pt idx="3">
                  <c:v>0.109924486578595</c:v>
                </c:pt>
                <c:pt idx="4">
                  <c:v>0.15243783568776</c:v>
                </c:pt>
                <c:pt idx="5">
                  <c:v>0.195215680078821</c:v>
                </c:pt>
                <c:pt idx="6">
                  <c:v>0.238115511355248</c:v>
                </c:pt>
                <c:pt idx="7">
                  <c:v>0.281081480619363</c:v>
                </c:pt>
                <c:pt idx="8">
                  <c:v>0.324087284147715</c:v>
                </c:pt>
                <c:pt idx="9">
                  <c:v>0.367118923164112</c:v>
                </c:pt>
                <c:pt idx="10">
                  <c:v>0.409601343832022</c:v>
                </c:pt>
              </c:numCache>
            </c:numRef>
          </c:xVal>
          <c:yVal>
            <c:numRef>
              <c:f>'SS Rod Radial Profile_10'!$R$32:$AD$32</c:f>
              <c:numCache>
                <c:formatCode>0.00</c:formatCode>
                <c:ptCount val="13"/>
                <c:pt idx="0">
                  <c:v>-1.747522587935066</c:v>
                </c:pt>
                <c:pt idx="1">
                  <c:v>-1.804621551830166</c:v>
                </c:pt>
                <c:pt idx="2">
                  <c:v>-1.647951481484526</c:v>
                </c:pt>
                <c:pt idx="3">
                  <c:v>-1.380018007459967</c:v>
                </c:pt>
                <c:pt idx="4">
                  <c:v>-1.144912796423085</c:v>
                </c:pt>
                <c:pt idx="5">
                  <c:v>-0.941563070596146</c:v>
                </c:pt>
                <c:pt idx="6">
                  <c:v>-0.762926607756981</c:v>
                </c:pt>
                <c:pt idx="7">
                  <c:v>-0.603489519016548</c:v>
                </c:pt>
                <c:pt idx="8">
                  <c:v>-0.459291804375049</c:v>
                </c:pt>
                <c:pt idx="9">
                  <c:v>-0.327469574943649</c:v>
                </c:pt>
                <c:pt idx="10">
                  <c:v>-0.345827526163909</c:v>
                </c:pt>
                <c:pt idx="11">
                  <c:v>-0.236315900655681</c:v>
                </c:pt>
                <c:pt idx="12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27096"/>
        <c:axId val="2089330424"/>
      </c:scatterChart>
      <c:valAx>
        <c:axId val="2089327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330424"/>
        <c:crossesAt val="0.0"/>
        <c:crossBetween val="midCat"/>
      </c:valAx>
      <c:valAx>
        <c:axId val="20893304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327096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Relative Temperature Difference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Profile_20'!$B$31:$B$31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Profile_20'!$C$31:$AO$31</c:f>
              <c:numCache>
                <c:formatCode>0.000</c:formatCode>
                <c:ptCount val="39"/>
                <c:pt idx="0">
                  <c:v>92.38341129163882</c:v>
                </c:pt>
                <c:pt idx="1">
                  <c:v>92.30557034930277</c:v>
                </c:pt>
                <c:pt idx="2">
                  <c:v>91.99420657995855</c:v>
                </c:pt>
                <c:pt idx="3">
                  <c:v>91.37147904127013</c:v>
                </c:pt>
                <c:pt idx="4">
                  <c:v>90.4373877332375</c:v>
                </c:pt>
                <c:pt idx="5">
                  <c:v>89.19193265586064</c:v>
                </c:pt>
                <c:pt idx="6">
                  <c:v>87.63511380913957</c:v>
                </c:pt>
                <c:pt idx="7">
                  <c:v>85.7669311930743</c:v>
                </c:pt>
                <c:pt idx="8">
                  <c:v>83.5873848076648</c:v>
                </c:pt>
                <c:pt idx="9">
                  <c:v>81.0964746529111</c:v>
                </c:pt>
                <c:pt idx="10">
                  <c:v>78.2942007288132</c:v>
                </c:pt>
                <c:pt idx="11">
                  <c:v>75.1805630353711</c:v>
                </c:pt>
                <c:pt idx="12">
                  <c:v>71.75556157258474</c:v>
                </c:pt>
                <c:pt idx="13">
                  <c:v>68.01919634045422</c:v>
                </c:pt>
                <c:pt idx="14">
                  <c:v>63.97146733897944</c:v>
                </c:pt>
                <c:pt idx="15">
                  <c:v>59.61237456816043</c:v>
                </c:pt>
                <c:pt idx="16">
                  <c:v>54.94191802799745</c:v>
                </c:pt>
                <c:pt idx="17">
                  <c:v>49.96009771849005</c:v>
                </c:pt>
                <c:pt idx="18">
                  <c:v>44.66691363963784</c:v>
                </c:pt>
                <c:pt idx="19">
                  <c:v>39.0623657914423</c:v>
                </c:pt>
                <c:pt idx="20">
                  <c:v>33.18576308171949</c:v>
                </c:pt>
                <c:pt idx="21">
                  <c:v>5.814058678433464</c:v>
                </c:pt>
                <c:pt idx="22">
                  <c:v>0.0</c:v>
                </c:pt>
                <c:pt idx="23">
                  <c:v>-3.963728480869044</c:v>
                </c:pt>
                <c:pt idx="25" formatCode="General">
                  <c:v>0.0</c:v>
                </c:pt>
                <c:pt idx="26" formatCode="0.00">
                  <c:v>-0.902794254601829</c:v>
                </c:pt>
                <c:pt idx="27" formatCode="0.00">
                  <c:v>-0.916146460413898</c:v>
                </c:pt>
                <c:pt idx="28" formatCode="0.00">
                  <c:v>-0.878362135514124</c:v>
                </c:pt>
                <c:pt idx="29" formatCode="0.00">
                  <c:v>-0.813550152381296</c:v>
                </c:pt>
                <c:pt idx="30" formatCode="0.00">
                  <c:v>-0.755843288793116</c:v>
                </c:pt>
                <c:pt idx="31" formatCode="0.00">
                  <c:v>-0.704998766971755</c:v>
                </c:pt>
                <c:pt idx="32" formatCode="0.00">
                  <c:v>-0.659366586917358</c:v>
                </c:pt>
                <c:pt idx="33" formatCode="0.00">
                  <c:v>-0.617659526407635</c:v>
                </c:pt>
                <c:pt idx="34" formatCode="0.00">
                  <c:v>-0.578965363220405</c:v>
                </c:pt>
                <c:pt idx="35" formatCode="0.00">
                  <c:v>-0.542633541800015</c:v>
                </c:pt>
                <c:pt idx="36" formatCode="0.00">
                  <c:v>-0.508192951035412</c:v>
                </c:pt>
                <c:pt idx="37" formatCode="0.00">
                  <c:v>-0.475296924259993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Profile_20'!$B$32:$B$32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Profile_20'!$C$32:$AO$32</c:f>
              <c:numCache>
                <c:formatCode>0.000</c:formatCode>
                <c:ptCount val="39"/>
                <c:pt idx="0">
                  <c:v>91.48061703703699</c:v>
                </c:pt>
                <c:pt idx="1">
                  <c:v>91.38942388888887</c:v>
                </c:pt>
                <c:pt idx="2">
                  <c:v>91.11584444444443</c:v>
                </c:pt>
                <c:pt idx="3">
                  <c:v>90.55792888888884</c:v>
                </c:pt>
                <c:pt idx="4">
                  <c:v>89.68154444444438</c:v>
                </c:pt>
                <c:pt idx="5">
                  <c:v>88.48693388888888</c:v>
                </c:pt>
                <c:pt idx="6">
                  <c:v>86.97574722222221</c:v>
                </c:pt>
                <c:pt idx="7">
                  <c:v>85.14927166666666</c:v>
                </c:pt>
                <c:pt idx="8">
                  <c:v>83.0084194444444</c:v>
                </c:pt>
                <c:pt idx="9">
                  <c:v>80.55384111111108</c:v>
                </c:pt>
                <c:pt idx="10">
                  <c:v>77.78600777777778</c:v>
                </c:pt>
                <c:pt idx="11">
                  <c:v>74.7052661111111</c:v>
                </c:pt>
                <c:pt idx="12">
                  <c:v>71.31187499999997</c:v>
                </c:pt>
                <c:pt idx="13">
                  <c:v>67.60602888888886</c:v>
                </c:pt>
                <c:pt idx="14">
                  <c:v>63.58787277777778</c:v>
                </c:pt>
                <c:pt idx="15">
                  <c:v>59.25751666666662</c:v>
                </c:pt>
                <c:pt idx="16">
                  <c:v>54.61504166666663</c:v>
                </c:pt>
                <c:pt idx="17">
                  <c:v>49.66050611111105</c:v>
                </c:pt>
                <c:pt idx="18">
                  <c:v>44.39395222222218</c:v>
                </c:pt>
                <c:pt idx="19">
                  <c:v>38.81540611111107</c:v>
                </c:pt>
                <c:pt idx="20">
                  <c:v>32.92779611111106</c:v>
                </c:pt>
                <c:pt idx="21">
                  <c:v>5.59249222222219</c:v>
                </c:pt>
                <c:pt idx="22">
                  <c:v>0.0</c:v>
                </c:pt>
                <c:pt idx="23">
                  <c:v>-4.41120801905893</c:v>
                </c:pt>
                <c:pt idx="25" formatCode="General">
                  <c:v>0.0</c:v>
                </c:pt>
                <c:pt idx="26" formatCode="0.00">
                  <c:v>-0.748653884231444</c:v>
                </c:pt>
                <c:pt idx="27" formatCode="0.00">
                  <c:v>-0.76220590485832</c:v>
                </c:pt>
                <c:pt idx="28" formatCode="0.00">
                  <c:v>-0.725021024402991</c:v>
                </c:pt>
                <c:pt idx="29" formatCode="0.00">
                  <c:v>-0.661428485714566</c:v>
                </c:pt>
                <c:pt idx="30" formatCode="0.00">
                  <c:v>-0.605627733237483</c:v>
                </c:pt>
                <c:pt idx="31" formatCode="0.00">
                  <c:v>-0.557363766971733</c:v>
                </c:pt>
                <c:pt idx="32" formatCode="0.00">
                  <c:v>-0.514966031361766</c:v>
                </c:pt>
                <c:pt idx="33" formatCode="0.00">
                  <c:v>-0.477124526407621</c:v>
                </c:pt>
                <c:pt idx="34" formatCode="0.00">
                  <c:v>-0.442899807664801</c:v>
                </c:pt>
                <c:pt idx="35" formatCode="0.00">
                  <c:v>-0.411612430688876</c:v>
                </c:pt>
                <c:pt idx="36" formatCode="0.00">
                  <c:v>-0.382758506590974</c:v>
                </c:pt>
                <c:pt idx="37" formatCode="0.00">
                  <c:v>-0.355955257593294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Profile_20'!$B$33:$B$33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Profile_20'!$C$33:$AO$33</c:f>
              <c:numCache>
                <c:formatCode>0.000</c:formatCode>
                <c:ptCount val="39"/>
                <c:pt idx="0">
                  <c:v>91.63475740740738</c:v>
                </c:pt>
                <c:pt idx="1">
                  <c:v>91.54336444444444</c:v>
                </c:pt>
                <c:pt idx="2">
                  <c:v>91.26918555555557</c:v>
                </c:pt>
                <c:pt idx="3">
                  <c:v>90.71005055555557</c:v>
                </c:pt>
                <c:pt idx="4">
                  <c:v>89.83176000000001</c:v>
                </c:pt>
                <c:pt idx="5">
                  <c:v>88.63456888888891</c:v>
                </c:pt>
                <c:pt idx="6">
                  <c:v>87.1201477777778</c:v>
                </c:pt>
                <c:pt idx="7">
                  <c:v>85.28980666666668</c:v>
                </c:pt>
                <c:pt idx="8">
                  <c:v>83.144485</c:v>
                </c:pt>
                <c:pt idx="9">
                  <c:v>80.68486222222222</c:v>
                </c:pt>
                <c:pt idx="10">
                  <c:v>77.91144222222222</c:v>
                </c:pt>
                <c:pt idx="11">
                  <c:v>74.8246077777778</c:v>
                </c:pt>
                <c:pt idx="12">
                  <c:v>71.42465611111113</c:v>
                </c:pt>
                <c:pt idx="13">
                  <c:v>67.7118222222222</c:v>
                </c:pt>
                <c:pt idx="14">
                  <c:v>63.6862966666667</c:v>
                </c:pt>
                <c:pt idx="15">
                  <c:v>59.34823444444444</c:v>
                </c:pt>
                <c:pt idx="16">
                  <c:v>54.69776444444442</c:v>
                </c:pt>
                <c:pt idx="17">
                  <c:v>49.73499388888892</c:v>
                </c:pt>
                <c:pt idx="18">
                  <c:v>44.46001499999997</c:v>
                </c:pt>
                <c:pt idx="19">
                  <c:v>38.87290611111111</c:v>
                </c:pt>
                <c:pt idx="20">
                  <c:v>32.97664833333335</c:v>
                </c:pt>
                <c:pt idx="21">
                  <c:v>5.600963333333324</c:v>
                </c:pt>
                <c:pt idx="22">
                  <c:v>0.0</c:v>
                </c:pt>
                <c:pt idx="23">
                  <c:v>-4.419399685725567</c:v>
                </c:pt>
                <c:pt idx="25" formatCode="General">
                  <c:v>0.0</c:v>
                </c:pt>
                <c:pt idx="26" formatCode="0.00">
                  <c:v>-0.930741662009169</c:v>
                </c:pt>
                <c:pt idx="27" formatCode="0.00">
                  <c:v>-0.944057571524965</c:v>
                </c:pt>
                <c:pt idx="28" formatCode="0.00">
                  <c:v>-0.906164357736316</c:v>
                </c:pt>
                <c:pt idx="29" formatCode="0.00">
                  <c:v>-0.841131263492315</c:v>
                </c:pt>
                <c:pt idx="30" formatCode="0.00">
                  <c:v>-0.783078844348552</c:v>
                </c:pt>
                <c:pt idx="31" formatCode="0.00">
                  <c:v>-0.731766544749533</c:v>
                </c:pt>
                <c:pt idx="32" formatCode="0.00">
                  <c:v>-0.685547142472885</c:v>
                </c:pt>
                <c:pt idx="33" formatCode="0.00">
                  <c:v>-0.643139526407594</c:v>
                </c:pt>
                <c:pt idx="34" formatCode="0.00">
                  <c:v>-0.603635363220334</c:v>
                </c:pt>
                <c:pt idx="35" formatCode="0.00">
                  <c:v>-0.566388541799981</c:v>
                </c:pt>
                <c:pt idx="36" formatCode="0.00">
                  <c:v>-0.530935173257632</c:v>
                </c:pt>
                <c:pt idx="37" formatCode="0.00">
                  <c:v>-0.496934146482161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'SS Rod Radial Profile_20'!$B$34:$B$34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Profile_20'!$C$34:$AO$34</c:f>
              <c:numCache>
                <c:formatCode>0.000</c:formatCode>
                <c:ptCount val="39"/>
                <c:pt idx="0">
                  <c:v>91.45266962962965</c:v>
                </c:pt>
                <c:pt idx="1">
                  <c:v>91.3615127777778</c:v>
                </c:pt>
                <c:pt idx="2">
                  <c:v>91.08804222222224</c:v>
                </c:pt>
                <c:pt idx="3">
                  <c:v>90.53034777777782</c:v>
                </c:pt>
                <c:pt idx="4">
                  <c:v>89.65430888888895</c:v>
                </c:pt>
                <c:pt idx="5">
                  <c:v>88.4601661111111</c:v>
                </c:pt>
                <c:pt idx="6">
                  <c:v>86.94956666666668</c:v>
                </c:pt>
                <c:pt idx="7">
                  <c:v>85.1237916666667</c:v>
                </c:pt>
                <c:pt idx="8">
                  <c:v>82.98374944444447</c:v>
                </c:pt>
                <c:pt idx="9">
                  <c:v>80.53008611111112</c:v>
                </c:pt>
                <c:pt idx="10">
                  <c:v>77.76326555555556</c:v>
                </c:pt>
                <c:pt idx="11">
                  <c:v>74.68362888888893</c:v>
                </c:pt>
                <c:pt idx="12">
                  <c:v>71.29142722222222</c:v>
                </c:pt>
                <c:pt idx="13">
                  <c:v>67.58684777777781</c:v>
                </c:pt>
                <c:pt idx="14">
                  <c:v>63.5700277777778</c:v>
                </c:pt>
                <c:pt idx="15">
                  <c:v>59.24106888888894</c:v>
                </c:pt>
                <c:pt idx="16">
                  <c:v>54.60004333333334</c:v>
                </c:pt>
                <c:pt idx="17">
                  <c:v>49.64700166666666</c:v>
                </c:pt>
                <c:pt idx="18">
                  <c:v>44.38197500000001</c:v>
                </c:pt>
                <c:pt idx="19">
                  <c:v>38.80498166666668</c:v>
                </c:pt>
                <c:pt idx="20">
                  <c:v>32.9189388888889</c:v>
                </c:pt>
                <c:pt idx="21">
                  <c:v>5.590956666666658</c:v>
                </c:pt>
                <c:pt idx="22">
                  <c:v>0.0</c:v>
                </c:pt>
                <c:pt idx="23">
                  <c:v>-4.409726352392214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405672"/>
        <c:axId val="2089411464"/>
      </c:scatterChart>
      <c:valAx>
        <c:axId val="208940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411464"/>
        <c:crossesAt val="0.0"/>
        <c:crossBetween val="midCat"/>
      </c:valAx>
      <c:valAx>
        <c:axId val="20894114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405672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Profile_20'!$AB$39:$AB$39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Profile_20'!$D$30:$M$30</c:f>
              <c:numCache>
                <c:formatCode>0.000</c:formatCode>
                <c:ptCount val="10"/>
                <c:pt idx="0">
                  <c:v>0.0148529173234228</c:v>
                </c:pt>
                <c:pt idx="1">
                  <c:v>0.0332121327993576</c:v>
                </c:pt>
                <c:pt idx="2">
                  <c:v>0.0535529549998282</c:v>
                </c:pt>
                <c:pt idx="3">
                  <c:v>0.0742645866171139</c:v>
                </c:pt>
                <c:pt idx="4">
                  <c:v>0.0951050749101948</c:v>
                </c:pt>
                <c:pt idx="5">
                  <c:v>0.116004992711531</c:v>
                </c:pt>
                <c:pt idx="6">
                  <c:v>0.136937131583792</c:v>
                </c:pt>
                <c:pt idx="7">
                  <c:v>0.157888676892477</c:v>
                </c:pt>
                <c:pt idx="8">
                  <c:v>0.178852808720978</c:v>
                </c:pt>
                <c:pt idx="9">
                  <c:v>0.199825565671599</c:v>
                </c:pt>
              </c:numCache>
            </c:numRef>
          </c:xVal>
          <c:yVal>
            <c:numRef>
              <c:f>'SS Rod Radial Profile_20'!$AC$39:$AM$39</c:f>
              <c:numCache>
                <c:formatCode>0.000%</c:formatCode>
                <c:ptCount val="11"/>
                <c:pt idx="0">
                  <c:v>-0.00117566806308479</c:v>
                </c:pt>
                <c:pt idx="1">
                  <c:v>-0.00121038807140561</c:v>
                </c:pt>
                <c:pt idx="2">
                  <c:v>-0.00111370112306632</c:v>
                </c:pt>
                <c:pt idx="3">
                  <c:v>-0.000947707153317945</c:v>
                </c:pt>
                <c:pt idx="4">
                  <c:v>-0.000800247098971396</c:v>
                </c:pt>
                <c:pt idx="5">
                  <c:v>-0.000670465479168619</c:v>
                </c:pt>
                <c:pt idx="6">
                  <c:v>-0.00055390470976098</c:v>
                </c:pt>
                <c:pt idx="7">
                  <c:v>-0.000447059471176693</c:v>
                </c:pt>
                <c:pt idx="8">
                  <c:v>-0.000347399748777786</c:v>
                </c:pt>
                <c:pt idx="9">
                  <c:v>-0.000253072688689844</c:v>
                </c:pt>
                <c:pt idx="10">
                  <c:v>-0.00016268659178725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Profile_20'!$AB$41:$AB$41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square"/>
            <c:size val="7"/>
          </c:marker>
          <c:xVal>
            <c:numRef>
              <c:f>'SS Rod Radial Profile_20'!$D$30:$M$30</c:f>
              <c:numCache>
                <c:formatCode>0.000</c:formatCode>
                <c:ptCount val="10"/>
                <c:pt idx="0">
                  <c:v>0.0148529173234228</c:v>
                </c:pt>
                <c:pt idx="1">
                  <c:v>0.0332121327993576</c:v>
                </c:pt>
                <c:pt idx="2">
                  <c:v>0.0535529549998282</c:v>
                </c:pt>
                <c:pt idx="3">
                  <c:v>0.0742645866171139</c:v>
                </c:pt>
                <c:pt idx="4">
                  <c:v>0.0951050749101948</c:v>
                </c:pt>
                <c:pt idx="5">
                  <c:v>0.116004992711531</c:v>
                </c:pt>
                <c:pt idx="6">
                  <c:v>0.136937131583792</c:v>
                </c:pt>
                <c:pt idx="7">
                  <c:v>0.157888676892477</c:v>
                </c:pt>
                <c:pt idx="8">
                  <c:v>0.178852808720978</c:v>
                </c:pt>
                <c:pt idx="9">
                  <c:v>0.199825565671599</c:v>
                </c:pt>
              </c:numCache>
            </c:numRef>
          </c:xVal>
          <c:yVal>
            <c:numRef>
              <c:f>'SS Rod Radial Profile_20'!$AC$41:$AM$41</c:f>
              <c:numCache>
                <c:formatCode>0.000%</c:formatCode>
                <c:ptCount val="11"/>
                <c:pt idx="0">
                  <c:v>-0.00125165687097491</c:v>
                </c:pt>
                <c:pt idx="1">
                  <c:v>-0.0012862984160888</c:v>
                </c:pt>
                <c:pt idx="2">
                  <c:v>-0.00118939111413522</c:v>
                </c:pt>
                <c:pt idx="3">
                  <c:v>-0.00102294674187672</c:v>
                </c:pt>
                <c:pt idx="4">
                  <c:v>-0.000874772310604706</c:v>
                </c:pt>
                <c:pt idx="5">
                  <c:v>-0.000744014461880622</c:v>
                </c:pt>
                <c:pt idx="6">
                  <c:v>-0.000626217931656089</c:v>
                </c:pt>
                <c:pt idx="7">
                  <c:v>-0.000517887237521363</c:v>
                </c:pt>
                <c:pt idx="8">
                  <c:v>-0.000416495276208023</c:v>
                </c:pt>
                <c:pt idx="9">
                  <c:v>-0.000320192419280008</c:v>
                </c:pt>
                <c:pt idx="10">
                  <c:v>-0.000227596497827234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Profile_20'!$AB$40:$AB$40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triangle"/>
            <c:size val="7"/>
          </c:marker>
          <c:xVal>
            <c:numRef>
              <c:f>'SS Rod Radial Profile_20'!$D$30:$M$30</c:f>
              <c:numCache>
                <c:formatCode>0.000</c:formatCode>
                <c:ptCount val="10"/>
                <c:pt idx="0">
                  <c:v>0.0148529173234228</c:v>
                </c:pt>
                <c:pt idx="1">
                  <c:v>0.0332121327993576</c:v>
                </c:pt>
                <c:pt idx="2">
                  <c:v>0.0535529549998282</c:v>
                </c:pt>
                <c:pt idx="3">
                  <c:v>0.0742645866171139</c:v>
                </c:pt>
                <c:pt idx="4">
                  <c:v>0.0951050749101948</c:v>
                </c:pt>
                <c:pt idx="5">
                  <c:v>0.116004992711531</c:v>
                </c:pt>
                <c:pt idx="6">
                  <c:v>0.136937131583792</c:v>
                </c:pt>
                <c:pt idx="7">
                  <c:v>0.157888676892477</c:v>
                </c:pt>
                <c:pt idx="8">
                  <c:v>0.178852808720978</c:v>
                </c:pt>
                <c:pt idx="9">
                  <c:v>0.199825565671599</c:v>
                </c:pt>
              </c:numCache>
            </c:numRef>
          </c:xVal>
          <c:yVal>
            <c:numRef>
              <c:f>'SS Rod Radial Profile_20'!$AC$40:$AM$40</c:f>
              <c:numCache>
                <c:formatCode>0.000%</c:formatCode>
                <c:ptCount val="11"/>
                <c:pt idx="0">
                  <c:v>-0.000756510533840144</c:v>
                </c:pt>
                <c:pt idx="1">
                  <c:v>-0.00079166232298485</c:v>
                </c:pt>
                <c:pt idx="2">
                  <c:v>-0.00069618777455719</c:v>
                </c:pt>
                <c:pt idx="3">
                  <c:v>-0.000532677683913974</c:v>
                </c:pt>
                <c:pt idx="4">
                  <c:v>-0.000389158182743359</c:v>
                </c:pt>
                <c:pt idx="5">
                  <c:v>-0.000264762179931019</c:v>
                </c:pt>
                <c:pt idx="6">
                  <c:v>-0.000155005621452403</c:v>
                </c:pt>
                <c:pt idx="7">
                  <c:v>-5.63574524129902E-5</c:v>
                </c:pt>
                <c:pt idx="8">
                  <c:v>3.37434105533016E-5</c:v>
                </c:pt>
                <c:pt idx="9">
                  <c:v>0.000117179225423642</c:v>
                </c:pt>
                <c:pt idx="10">
                  <c:v>0.000195375582147142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456760"/>
        <c:axId val="2089460088"/>
      </c:scatterChart>
      <c:valAx>
        <c:axId val="2089456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460088"/>
        <c:crossesAt val="0.0"/>
        <c:crossBetween val="midCat"/>
      </c:valAx>
      <c:valAx>
        <c:axId val="20894600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456760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Temperature Profile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Profile_20'!$B$38:$B$38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Profile_20'!$C$37:$AO$37</c:f>
              <c:numCache>
                <c:formatCode>0.00000</c:formatCode>
                <c:ptCount val="39"/>
                <c:pt idx="0">
                  <c:v>0.0</c:v>
                </c:pt>
                <c:pt idx="1">
                  <c:v>0.0148529173234228</c:v>
                </c:pt>
                <c:pt idx="2">
                  <c:v>0.0332121327993576</c:v>
                </c:pt>
                <c:pt idx="3">
                  <c:v>0.0535529549998282</c:v>
                </c:pt>
                <c:pt idx="4">
                  <c:v>0.0742645866171139</c:v>
                </c:pt>
                <c:pt idx="5">
                  <c:v>0.0951050749101948</c:v>
                </c:pt>
                <c:pt idx="6">
                  <c:v>0.116004992711531</c:v>
                </c:pt>
                <c:pt idx="7">
                  <c:v>0.136937131583792</c:v>
                </c:pt>
                <c:pt idx="8">
                  <c:v>0.157888676892477</c:v>
                </c:pt>
                <c:pt idx="9">
                  <c:v>0.178852808720978</c:v>
                </c:pt>
                <c:pt idx="10">
                  <c:v>0.199825565671599</c:v>
                </c:pt>
                <c:pt idx="11">
                  <c:v>0.220804490028241</c:v>
                </c:pt>
                <c:pt idx="12">
                  <c:v>0.241787976436701</c:v>
                </c:pt>
              </c:numCache>
            </c:numRef>
          </c:xVal>
          <c:yVal>
            <c:numRef>
              <c:f>'SS Rod Radial Profile_20'!$C$38:$AO$38</c:f>
              <c:numCache>
                <c:formatCode>0.000</c:formatCode>
                <c:ptCount val="39"/>
                <c:pt idx="0">
                  <c:v>387.281691753449</c:v>
                </c:pt>
                <c:pt idx="1">
                  <c:v>387.203850811113</c:v>
                </c:pt>
                <c:pt idx="2">
                  <c:v>386.8924870417688</c:v>
                </c:pt>
                <c:pt idx="3">
                  <c:v>386.2697595030804</c:v>
                </c:pt>
                <c:pt idx="4">
                  <c:v>385.3356681950477</c:v>
                </c:pt>
                <c:pt idx="5">
                  <c:v>384.0902131176708</c:v>
                </c:pt>
                <c:pt idx="6">
                  <c:v>382.5333942709498</c:v>
                </c:pt>
                <c:pt idx="7">
                  <c:v>380.6652116548845</c:v>
                </c:pt>
                <c:pt idx="8">
                  <c:v>378.485665269475</c:v>
                </c:pt>
                <c:pt idx="9">
                  <c:v>375.9947551147212</c:v>
                </c:pt>
                <c:pt idx="10">
                  <c:v>373.1924811906233</c:v>
                </c:pt>
                <c:pt idx="11">
                  <c:v>370.0788434971813</c:v>
                </c:pt>
                <c:pt idx="12">
                  <c:v>366.653842034395</c:v>
                </c:pt>
                <c:pt idx="13">
                  <c:v>362.9174768022644</c:v>
                </c:pt>
                <c:pt idx="14">
                  <c:v>358.8697478007896</c:v>
                </c:pt>
                <c:pt idx="15">
                  <c:v>354.5106550299706</c:v>
                </c:pt>
                <c:pt idx="16">
                  <c:v>349.8401984898077</c:v>
                </c:pt>
                <c:pt idx="17">
                  <c:v>344.8583781803002</c:v>
                </c:pt>
                <c:pt idx="18">
                  <c:v>339.5651941014481</c:v>
                </c:pt>
                <c:pt idx="19">
                  <c:v>333.9606462532525</c:v>
                </c:pt>
                <c:pt idx="20">
                  <c:v>328.0840435435297</c:v>
                </c:pt>
                <c:pt idx="21">
                  <c:v>300.7123391402437</c:v>
                </c:pt>
                <c:pt idx="22">
                  <c:v>294.8982804618102</c:v>
                </c:pt>
                <c:pt idx="23">
                  <c:v>290.9345519809411</c:v>
                </c:pt>
                <c:pt idx="26" formatCode="General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Profile_20'!$B$39:$B$39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'SS Rod Radial Profile_20'!$C$37:$AO$37</c:f>
              <c:numCache>
                <c:formatCode>0.00000</c:formatCode>
                <c:ptCount val="39"/>
                <c:pt idx="0">
                  <c:v>0.0</c:v>
                </c:pt>
                <c:pt idx="1">
                  <c:v>0.0148529173234228</c:v>
                </c:pt>
                <c:pt idx="2">
                  <c:v>0.0332121327993576</c:v>
                </c:pt>
                <c:pt idx="3">
                  <c:v>0.0535529549998282</c:v>
                </c:pt>
                <c:pt idx="4">
                  <c:v>0.0742645866171139</c:v>
                </c:pt>
                <c:pt idx="5">
                  <c:v>0.0951050749101948</c:v>
                </c:pt>
                <c:pt idx="6">
                  <c:v>0.116004992711531</c:v>
                </c:pt>
                <c:pt idx="7">
                  <c:v>0.136937131583792</c:v>
                </c:pt>
                <c:pt idx="8">
                  <c:v>0.157888676892477</c:v>
                </c:pt>
                <c:pt idx="9">
                  <c:v>0.178852808720978</c:v>
                </c:pt>
                <c:pt idx="10">
                  <c:v>0.199825565671599</c:v>
                </c:pt>
                <c:pt idx="11">
                  <c:v>0.220804490028241</c:v>
                </c:pt>
                <c:pt idx="12">
                  <c:v>0.241787976436701</c:v>
                </c:pt>
              </c:numCache>
            </c:numRef>
          </c:xVal>
          <c:yVal>
            <c:numRef>
              <c:f>'SS Rod Radial Profile_20'!$C$39:$AO$39</c:f>
              <c:numCache>
                <c:formatCode>0.000</c:formatCode>
                <c:ptCount val="39"/>
                <c:pt idx="0">
                  <c:v>386.826377037037</c:v>
                </c:pt>
                <c:pt idx="1">
                  <c:v>386.7351838888889</c:v>
                </c:pt>
                <c:pt idx="2">
                  <c:v>386.4616044444444</c:v>
                </c:pt>
                <c:pt idx="3">
                  <c:v>385.9036888888889</c:v>
                </c:pt>
                <c:pt idx="4">
                  <c:v>385.0273044444444</c:v>
                </c:pt>
                <c:pt idx="5">
                  <c:v>383.832693888889</c:v>
                </c:pt>
                <c:pt idx="6">
                  <c:v>382.3215072222222</c:v>
                </c:pt>
                <c:pt idx="7">
                  <c:v>380.4950316666667</c:v>
                </c:pt>
                <c:pt idx="8">
                  <c:v>378.3541794444444</c:v>
                </c:pt>
                <c:pt idx="9">
                  <c:v>375.8996011111111</c:v>
                </c:pt>
                <c:pt idx="10">
                  <c:v>373.1317677777778</c:v>
                </c:pt>
                <c:pt idx="11">
                  <c:v>370.0510261111111</c:v>
                </c:pt>
                <c:pt idx="12">
                  <c:v>366.657635</c:v>
                </c:pt>
                <c:pt idx="13">
                  <c:v>362.9517888888889</c:v>
                </c:pt>
                <c:pt idx="14">
                  <c:v>358.9336327777778</c:v>
                </c:pt>
                <c:pt idx="15">
                  <c:v>354.6032766666666</c:v>
                </c:pt>
                <c:pt idx="16">
                  <c:v>349.9608016666666</c:v>
                </c:pt>
                <c:pt idx="17">
                  <c:v>345.0062661111111</c:v>
                </c:pt>
                <c:pt idx="18">
                  <c:v>339.7397122222222</c:v>
                </c:pt>
                <c:pt idx="19">
                  <c:v>334.1611661111111</c:v>
                </c:pt>
                <c:pt idx="20">
                  <c:v>328.2735561111111</c:v>
                </c:pt>
                <c:pt idx="21">
                  <c:v>300.9382522222222</c:v>
                </c:pt>
                <c:pt idx="22">
                  <c:v>295.34576</c:v>
                </c:pt>
                <c:pt idx="23">
                  <c:v>290.9345519809411</c:v>
                </c:pt>
                <c:pt idx="25" formatCode="General">
                  <c:v>0.0</c:v>
                </c:pt>
                <c:pt idx="26" formatCode="0.000%">
                  <c:v>-0.00117566806308479</c:v>
                </c:pt>
                <c:pt idx="27" formatCode="0.000%">
                  <c:v>-0.00121038807140561</c:v>
                </c:pt>
                <c:pt idx="28" formatCode="0.000%">
                  <c:v>-0.00111370112306632</c:v>
                </c:pt>
                <c:pt idx="29" formatCode="0.000%">
                  <c:v>-0.000947707153317945</c:v>
                </c:pt>
                <c:pt idx="30" formatCode="0.000%">
                  <c:v>-0.000800247098971396</c:v>
                </c:pt>
                <c:pt idx="31" formatCode="0.000%">
                  <c:v>-0.000670465479168619</c:v>
                </c:pt>
                <c:pt idx="32" formatCode="0.000%">
                  <c:v>-0.00055390470976098</c:v>
                </c:pt>
                <c:pt idx="33" formatCode="0.000%">
                  <c:v>-0.000447059471176693</c:v>
                </c:pt>
                <c:pt idx="34" formatCode="0.000%">
                  <c:v>-0.000347399748777786</c:v>
                </c:pt>
                <c:pt idx="35" formatCode="0.000%">
                  <c:v>-0.000253072688689844</c:v>
                </c:pt>
                <c:pt idx="36" formatCode="0.000%">
                  <c:v>-0.00016268659178725</c:v>
                </c:pt>
                <c:pt idx="37" formatCode="0.000%">
                  <c:v>-7.5166107328139E-5</c:v>
                </c:pt>
                <c:pt idx="38" formatCode="0.000%">
                  <c:v>1.03448134732617E-5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Profile_20'!$B$40:$B$40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'SS Rod Radial Profile_20'!$C$37:$AO$37</c:f>
              <c:numCache>
                <c:formatCode>0.00000</c:formatCode>
                <c:ptCount val="39"/>
                <c:pt idx="0">
                  <c:v>0.0</c:v>
                </c:pt>
                <c:pt idx="1">
                  <c:v>0.0148529173234228</c:v>
                </c:pt>
                <c:pt idx="2">
                  <c:v>0.0332121327993576</c:v>
                </c:pt>
                <c:pt idx="3">
                  <c:v>0.0535529549998282</c:v>
                </c:pt>
                <c:pt idx="4">
                  <c:v>0.0742645866171139</c:v>
                </c:pt>
                <c:pt idx="5">
                  <c:v>0.0951050749101948</c:v>
                </c:pt>
                <c:pt idx="6">
                  <c:v>0.116004992711531</c:v>
                </c:pt>
                <c:pt idx="7">
                  <c:v>0.136937131583792</c:v>
                </c:pt>
                <c:pt idx="8">
                  <c:v>0.157888676892477</c:v>
                </c:pt>
                <c:pt idx="9">
                  <c:v>0.178852808720978</c:v>
                </c:pt>
                <c:pt idx="10">
                  <c:v>0.199825565671599</c:v>
                </c:pt>
                <c:pt idx="11">
                  <c:v>0.220804490028241</c:v>
                </c:pt>
                <c:pt idx="12">
                  <c:v>0.241787976436701</c:v>
                </c:pt>
              </c:numCache>
            </c:numRef>
          </c:xVal>
          <c:yVal>
            <c:numRef>
              <c:f>'SS Rod Radial Profile_20'!$C$40:$AO$40</c:f>
              <c:numCache>
                <c:formatCode>0.000</c:formatCode>
                <c:ptCount val="39"/>
                <c:pt idx="0">
                  <c:v>386.9887090740741</c:v>
                </c:pt>
                <c:pt idx="1">
                  <c:v>386.8973161111112</c:v>
                </c:pt>
                <c:pt idx="2">
                  <c:v>386.6231372222223</c:v>
                </c:pt>
                <c:pt idx="3">
                  <c:v>386.0640022222223</c:v>
                </c:pt>
                <c:pt idx="4">
                  <c:v>385.1857116666667</c:v>
                </c:pt>
                <c:pt idx="5">
                  <c:v>383.9885205555556</c:v>
                </c:pt>
                <c:pt idx="6">
                  <c:v>382.4740994444445</c:v>
                </c:pt>
                <c:pt idx="7">
                  <c:v>380.6437583333333</c:v>
                </c:pt>
                <c:pt idx="8">
                  <c:v>378.4984366666667</c:v>
                </c:pt>
                <c:pt idx="9">
                  <c:v>376.038813888889</c:v>
                </c:pt>
                <c:pt idx="10">
                  <c:v>373.2653938888889</c:v>
                </c:pt>
                <c:pt idx="11">
                  <c:v>370.1785594444445</c:v>
                </c:pt>
                <c:pt idx="12">
                  <c:v>366.7786077777778</c:v>
                </c:pt>
                <c:pt idx="13">
                  <c:v>363.0657738888889</c:v>
                </c:pt>
                <c:pt idx="14">
                  <c:v>359.0402483333334</c:v>
                </c:pt>
                <c:pt idx="15">
                  <c:v>354.7021861111111</c:v>
                </c:pt>
                <c:pt idx="16">
                  <c:v>350.0517161111111</c:v>
                </c:pt>
                <c:pt idx="17">
                  <c:v>345.0889455555557</c:v>
                </c:pt>
                <c:pt idx="18">
                  <c:v>339.8139666666667</c:v>
                </c:pt>
                <c:pt idx="19">
                  <c:v>334.2268577777778</c:v>
                </c:pt>
                <c:pt idx="20">
                  <c:v>328.3306000000001</c:v>
                </c:pt>
                <c:pt idx="21">
                  <c:v>300.954915</c:v>
                </c:pt>
                <c:pt idx="22">
                  <c:v>295.3539516666667</c:v>
                </c:pt>
                <c:pt idx="23">
                  <c:v>290.9345519809411</c:v>
                </c:pt>
                <c:pt idx="25" formatCode="General">
                  <c:v>0.0</c:v>
                </c:pt>
                <c:pt idx="26" formatCode="0.000%">
                  <c:v>-0.000756510533840144</c:v>
                </c:pt>
                <c:pt idx="27" formatCode="0.000%">
                  <c:v>-0.00079166232298485</c:v>
                </c:pt>
                <c:pt idx="28" formatCode="0.000%">
                  <c:v>-0.00069618777455719</c:v>
                </c:pt>
                <c:pt idx="29" formatCode="0.000%">
                  <c:v>-0.000532677683913974</c:v>
                </c:pt>
                <c:pt idx="30" formatCode="0.000%">
                  <c:v>-0.000389158182743359</c:v>
                </c:pt>
                <c:pt idx="31" formatCode="0.000%">
                  <c:v>-0.000264762179931019</c:v>
                </c:pt>
                <c:pt idx="32" formatCode="0.000%">
                  <c:v>-0.000155005621452403</c:v>
                </c:pt>
                <c:pt idx="33" formatCode="0.000%">
                  <c:v>-5.63574524129902E-5</c:v>
                </c:pt>
                <c:pt idx="34" formatCode="0.000%">
                  <c:v>3.37434105533016E-5</c:v>
                </c:pt>
                <c:pt idx="35" formatCode="0.000%">
                  <c:v>0.000117179225423642</c:v>
                </c:pt>
                <c:pt idx="36" formatCode="0.000%">
                  <c:v>0.000195375582147142</c:v>
                </c:pt>
                <c:pt idx="37" formatCode="0.000%">
                  <c:v>0.000269445143961584</c:v>
                </c:pt>
                <c:pt idx="38" formatCode="0.000%">
                  <c:v>0.00034028211102505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499416"/>
        <c:axId val="2089505160"/>
      </c:scatterChart>
      <c:valAx>
        <c:axId val="2089499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505160"/>
        <c:crossesAt val="0.0"/>
        <c:crossBetween val="midCat"/>
      </c:valAx>
      <c:valAx>
        <c:axId val="20895051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499416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Relative Temperature Difference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Profile_20'!$B$31:$B$31</c:f>
              <c:strCache>
                <c:ptCount val="1"/>
                <c:pt idx="0">
                  <c:v>Analytical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Profile_20'!$C$31:$AO$31</c:f>
              <c:numCache>
                <c:formatCode>0.000</c:formatCode>
                <c:ptCount val="39"/>
                <c:pt idx="0">
                  <c:v>92.38341129163882</c:v>
                </c:pt>
                <c:pt idx="1">
                  <c:v>92.30557034930277</c:v>
                </c:pt>
                <c:pt idx="2">
                  <c:v>91.99420657995855</c:v>
                </c:pt>
                <c:pt idx="3">
                  <c:v>91.37147904127013</c:v>
                </c:pt>
                <c:pt idx="4">
                  <c:v>90.4373877332375</c:v>
                </c:pt>
                <c:pt idx="5">
                  <c:v>89.19193265586064</c:v>
                </c:pt>
                <c:pt idx="6">
                  <c:v>87.63511380913957</c:v>
                </c:pt>
                <c:pt idx="7">
                  <c:v>85.7669311930743</c:v>
                </c:pt>
                <c:pt idx="8">
                  <c:v>83.5873848076648</c:v>
                </c:pt>
                <c:pt idx="9">
                  <c:v>81.0964746529111</c:v>
                </c:pt>
                <c:pt idx="10">
                  <c:v>78.2942007288132</c:v>
                </c:pt>
                <c:pt idx="11">
                  <c:v>75.1805630353711</c:v>
                </c:pt>
                <c:pt idx="12">
                  <c:v>71.75556157258474</c:v>
                </c:pt>
                <c:pt idx="13">
                  <c:v>68.01919634045422</c:v>
                </c:pt>
                <c:pt idx="14">
                  <c:v>63.97146733897944</c:v>
                </c:pt>
                <c:pt idx="15">
                  <c:v>59.61237456816043</c:v>
                </c:pt>
                <c:pt idx="16">
                  <c:v>54.94191802799745</c:v>
                </c:pt>
                <c:pt idx="17">
                  <c:v>49.96009771849005</c:v>
                </c:pt>
                <c:pt idx="18">
                  <c:v>44.66691363963784</c:v>
                </c:pt>
                <c:pt idx="19">
                  <c:v>39.0623657914423</c:v>
                </c:pt>
                <c:pt idx="20">
                  <c:v>33.18576308171949</c:v>
                </c:pt>
                <c:pt idx="21">
                  <c:v>5.814058678433464</c:v>
                </c:pt>
                <c:pt idx="22">
                  <c:v>0.0</c:v>
                </c:pt>
                <c:pt idx="23">
                  <c:v>-3.963728480869044</c:v>
                </c:pt>
                <c:pt idx="25" formatCode="General">
                  <c:v>0.0</c:v>
                </c:pt>
                <c:pt idx="26" formatCode="0.00">
                  <c:v>-0.902794254601829</c:v>
                </c:pt>
                <c:pt idx="27" formatCode="0.00">
                  <c:v>-0.916146460413898</c:v>
                </c:pt>
                <c:pt idx="28" formatCode="0.00">
                  <c:v>-0.878362135514124</c:v>
                </c:pt>
                <c:pt idx="29" formatCode="0.00">
                  <c:v>-0.813550152381296</c:v>
                </c:pt>
                <c:pt idx="30" formatCode="0.00">
                  <c:v>-0.755843288793116</c:v>
                </c:pt>
                <c:pt idx="31" formatCode="0.00">
                  <c:v>-0.704998766971755</c:v>
                </c:pt>
                <c:pt idx="32" formatCode="0.00">
                  <c:v>-0.659366586917358</c:v>
                </c:pt>
                <c:pt idx="33" formatCode="0.00">
                  <c:v>-0.617659526407635</c:v>
                </c:pt>
                <c:pt idx="34" formatCode="0.00">
                  <c:v>-0.578965363220405</c:v>
                </c:pt>
                <c:pt idx="35" formatCode="0.00">
                  <c:v>-0.542633541800015</c:v>
                </c:pt>
                <c:pt idx="36" formatCode="0.00">
                  <c:v>-0.508192951035412</c:v>
                </c:pt>
                <c:pt idx="37" formatCode="0.00">
                  <c:v>-0.475296924259993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Profile_20'!$B$32:$B$32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Profile_20'!$C$32:$AO$32</c:f>
              <c:numCache>
                <c:formatCode>0.000</c:formatCode>
                <c:ptCount val="39"/>
                <c:pt idx="0">
                  <c:v>91.48061703703699</c:v>
                </c:pt>
                <c:pt idx="1">
                  <c:v>91.38942388888887</c:v>
                </c:pt>
                <c:pt idx="2">
                  <c:v>91.11584444444443</c:v>
                </c:pt>
                <c:pt idx="3">
                  <c:v>90.55792888888884</c:v>
                </c:pt>
                <c:pt idx="4">
                  <c:v>89.68154444444438</c:v>
                </c:pt>
                <c:pt idx="5">
                  <c:v>88.48693388888888</c:v>
                </c:pt>
                <c:pt idx="6">
                  <c:v>86.97574722222221</c:v>
                </c:pt>
                <c:pt idx="7">
                  <c:v>85.14927166666666</c:v>
                </c:pt>
                <c:pt idx="8">
                  <c:v>83.0084194444444</c:v>
                </c:pt>
                <c:pt idx="9">
                  <c:v>80.55384111111108</c:v>
                </c:pt>
                <c:pt idx="10">
                  <c:v>77.78600777777778</c:v>
                </c:pt>
                <c:pt idx="11">
                  <c:v>74.7052661111111</c:v>
                </c:pt>
                <c:pt idx="12">
                  <c:v>71.31187499999997</c:v>
                </c:pt>
                <c:pt idx="13">
                  <c:v>67.60602888888886</c:v>
                </c:pt>
                <c:pt idx="14">
                  <c:v>63.58787277777778</c:v>
                </c:pt>
                <c:pt idx="15">
                  <c:v>59.25751666666662</c:v>
                </c:pt>
                <c:pt idx="16">
                  <c:v>54.61504166666663</c:v>
                </c:pt>
                <c:pt idx="17">
                  <c:v>49.66050611111105</c:v>
                </c:pt>
                <c:pt idx="18">
                  <c:v>44.39395222222218</c:v>
                </c:pt>
                <c:pt idx="19">
                  <c:v>38.81540611111107</c:v>
                </c:pt>
                <c:pt idx="20">
                  <c:v>32.92779611111106</c:v>
                </c:pt>
                <c:pt idx="21">
                  <c:v>5.59249222222219</c:v>
                </c:pt>
                <c:pt idx="22">
                  <c:v>0.0</c:v>
                </c:pt>
                <c:pt idx="23">
                  <c:v>-4.41120801905893</c:v>
                </c:pt>
                <c:pt idx="25" formatCode="General">
                  <c:v>0.0</c:v>
                </c:pt>
                <c:pt idx="26" formatCode="0.00">
                  <c:v>-0.748653884231444</c:v>
                </c:pt>
                <c:pt idx="27" formatCode="0.00">
                  <c:v>-0.76220590485832</c:v>
                </c:pt>
                <c:pt idx="28" formatCode="0.00">
                  <c:v>-0.725021024402991</c:v>
                </c:pt>
                <c:pt idx="29" formatCode="0.00">
                  <c:v>-0.661428485714566</c:v>
                </c:pt>
                <c:pt idx="30" formatCode="0.00">
                  <c:v>-0.605627733237483</c:v>
                </c:pt>
                <c:pt idx="31" formatCode="0.00">
                  <c:v>-0.557363766971733</c:v>
                </c:pt>
                <c:pt idx="32" formatCode="0.00">
                  <c:v>-0.514966031361766</c:v>
                </c:pt>
                <c:pt idx="33" formatCode="0.00">
                  <c:v>-0.477124526407621</c:v>
                </c:pt>
                <c:pt idx="34" formatCode="0.00">
                  <c:v>-0.442899807664801</c:v>
                </c:pt>
                <c:pt idx="35" formatCode="0.00">
                  <c:v>-0.411612430688876</c:v>
                </c:pt>
                <c:pt idx="36" formatCode="0.00">
                  <c:v>-0.382758506590974</c:v>
                </c:pt>
                <c:pt idx="37" formatCode="0.00">
                  <c:v>-0.355955257593294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'SS Rod Radial Profile_20'!$B$33:$B$33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Profile_20'!$C$33:$AO$33</c:f>
              <c:numCache>
                <c:formatCode>0.000</c:formatCode>
                <c:ptCount val="39"/>
                <c:pt idx="0">
                  <c:v>91.63475740740738</c:v>
                </c:pt>
                <c:pt idx="1">
                  <c:v>91.54336444444444</c:v>
                </c:pt>
                <c:pt idx="2">
                  <c:v>91.26918555555557</c:v>
                </c:pt>
                <c:pt idx="3">
                  <c:v>90.71005055555557</c:v>
                </c:pt>
                <c:pt idx="4">
                  <c:v>89.83176000000001</c:v>
                </c:pt>
                <c:pt idx="5">
                  <c:v>88.63456888888891</c:v>
                </c:pt>
                <c:pt idx="6">
                  <c:v>87.1201477777778</c:v>
                </c:pt>
                <c:pt idx="7">
                  <c:v>85.28980666666668</c:v>
                </c:pt>
                <c:pt idx="8">
                  <c:v>83.144485</c:v>
                </c:pt>
                <c:pt idx="9">
                  <c:v>80.68486222222222</c:v>
                </c:pt>
                <c:pt idx="10">
                  <c:v>77.91144222222222</c:v>
                </c:pt>
                <c:pt idx="11">
                  <c:v>74.8246077777778</c:v>
                </c:pt>
                <c:pt idx="12">
                  <c:v>71.42465611111113</c:v>
                </c:pt>
                <c:pt idx="13">
                  <c:v>67.7118222222222</c:v>
                </c:pt>
                <c:pt idx="14">
                  <c:v>63.6862966666667</c:v>
                </c:pt>
                <c:pt idx="15">
                  <c:v>59.34823444444444</c:v>
                </c:pt>
                <c:pt idx="16">
                  <c:v>54.69776444444442</c:v>
                </c:pt>
                <c:pt idx="17">
                  <c:v>49.73499388888892</c:v>
                </c:pt>
                <c:pt idx="18">
                  <c:v>44.46001499999997</c:v>
                </c:pt>
                <c:pt idx="19">
                  <c:v>38.87290611111111</c:v>
                </c:pt>
                <c:pt idx="20">
                  <c:v>32.97664833333335</c:v>
                </c:pt>
                <c:pt idx="21">
                  <c:v>5.600963333333324</c:v>
                </c:pt>
                <c:pt idx="22">
                  <c:v>0.0</c:v>
                </c:pt>
                <c:pt idx="23">
                  <c:v>-4.419399685725567</c:v>
                </c:pt>
                <c:pt idx="25" formatCode="General">
                  <c:v>0.0</c:v>
                </c:pt>
                <c:pt idx="26" formatCode="0.00">
                  <c:v>-0.930741662009169</c:v>
                </c:pt>
                <c:pt idx="27" formatCode="0.00">
                  <c:v>-0.944057571524965</c:v>
                </c:pt>
                <c:pt idx="28" formatCode="0.00">
                  <c:v>-0.906164357736316</c:v>
                </c:pt>
                <c:pt idx="29" formatCode="0.00">
                  <c:v>-0.841131263492315</c:v>
                </c:pt>
                <c:pt idx="30" formatCode="0.00">
                  <c:v>-0.783078844348552</c:v>
                </c:pt>
                <c:pt idx="31" formatCode="0.00">
                  <c:v>-0.731766544749533</c:v>
                </c:pt>
                <c:pt idx="32" formatCode="0.00">
                  <c:v>-0.685547142472885</c:v>
                </c:pt>
                <c:pt idx="33" formatCode="0.00">
                  <c:v>-0.643139526407594</c:v>
                </c:pt>
                <c:pt idx="34" formatCode="0.00">
                  <c:v>-0.603635363220334</c:v>
                </c:pt>
                <c:pt idx="35" formatCode="0.00">
                  <c:v>-0.566388541799981</c:v>
                </c:pt>
                <c:pt idx="36" formatCode="0.00">
                  <c:v>-0.530935173257632</c:v>
                </c:pt>
                <c:pt idx="37" formatCode="0.00">
                  <c:v>-0.496934146482161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'SS Rod Radial Profile_20'!$B$34:$B$34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strRef>
              <c:f>'SS Rod Radial Profile_20'!$C$30:$AO$30</c:f>
              <c:strCache>
                <c:ptCount val="27"/>
                <c:pt idx="0">
                  <c:v>0.000</c:v>
                </c:pt>
                <c:pt idx="1">
                  <c:v>0.015</c:v>
                </c:pt>
                <c:pt idx="2">
                  <c:v>0.033</c:v>
                </c:pt>
                <c:pt idx="3">
                  <c:v>0.054</c:v>
                </c:pt>
                <c:pt idx="4">
                  <c:v>0.074</c:v>
                </c:pt>
                <c:pt idx="5">
                  <c:v>0.095</c:v>
                </c:pt>
                <c:pt idx="6">
                  <c:v>0.116</c:v>
                </c:pt>
                <c:pt idx="7">
                  <c:v>0.137</c:v>
                </c:pt>
                <c:pt idx="8">
                  <c:v>0.158</c:v>
                </c:pt>
                <c:pt idx="9">
                  <c:v>0.179</c:v>
                </c:pt>
                <c:pt idx="10">
                  <c:v>0.200</c:v>
                </c:pt>
                <c:pt idx="11">
                  <c:v>0.221</c:v>
                </c:pt>
                <c:pt idx="12">
                  <c:v>0.242</c:v>
                </c:pt>
                <c:pt idx="13">
                  <c:v>0.263</c:v>
                </c:pt>
                <c:pt idx="14">
                  <c:v>0.284</c:v>
                </c:pt>
                <c:pt idx="15">
                  <c:v>0.305</c:v>
                </c:pt>
                <c:pt idx="16">
                  <c:v>0.326</c:v>
                </c:pt>
                <c:pt idx="17">
                  <c:v>0.347</c:v>
                </c:pt>
                <c:pt idx="18">
                  <c:v>0.368</c:v>
                </c:pt>
                <c:pt idx="19">
                  <c:v>0.389</c:v>
                </c:pt>
                <c:pt idx="20">
                  <c:v>0.410</c:v>
                </c:pt>
                <c:pt idx="21">
                  <c:v>0.418</c:v>
                </c:pt>
                <c:pt idx="22">
                  <c:v>0.475</c:v>
                </c:pt>
                <c:pt idx="26">
                  <c:v>Difference</c:v>
                </c:pt>
              </c:strCache>
            </c:strRef>
          </c:xVal>
          <c:yVal>
            <c:numRef>
              <c:f>'SS Rod Radial Profile_20'!$C$34:$AO$34</c:f>
              <c:numCache>
                <c:formatCode>0.000</c:formatCode>
                <c:ptCount val="39"/>
                <c:pt idx="0">
                  <c:v>91.45266962962965</c:v>
                </c:pt>
                <c:pt idx="1">
                  <c:v>91.3615127777778</c:v>
                </c:pt>
                <c:pt idx="2">
                  <c:v>91.08804222222224</c:v>
                </c:pt>
                <c:pt idx="3">
                  <c:v>90.53034777777782</c:v>
                </c:pt>
                <c:pt idx="4">
                  <c:v>89.65430888888895</c:v>
                </c:pt>
                <c:pt idx="5">
                  <c:v>88.4601661111111</c:v>
                </c:pt>
                <c:pt idx="6">
                  <c:v>86.94956666666668</c:v>
                </c:pt>
                <c:pt idx="7">
                  <c:v>85.1237916666667</c:v>
                </c:pt>
                <c:pt idx="8">
                  <c:v>82.98374944444447</c:v>
                </c:pt>
                <c:pt idx="9">
                  <c:v>80.53008611111112</c:v>
                </c:pt>
                <c:pt idx="10">
                  <c:v>77.76326555555556</c:v>
                </c:pt>
                <c:pt idx="11">
                  <c:v>74.68362888888893</c:v>
                </c:pt>
                <c:pt idx="12">
                  <c:v>71.29142722222222</c:v>
                </c:pt>
                <c:pt idx="13">
                  <c:v>67.58684777777781</c:v>
                </c:pt>
                <c:pt idx="14">
                  <c:v>63.5700277777778</c:v>
                </c:pt>
                <c:pt idx="15">
                  <c:v>59.24106888888894</c:v>
                </c:pt>
                <c:pt idx="16">
                  <c:v>54.60004333333334</c:v>
                </c:pt>
                <c:pt idx="17">
                  <c:v>49.64700166666666</c:v>
                </c:pt>
                <c:pt idx="18">
                  <c:v>44.38197500000001</c:v>
                </c:pt>
                <c:pt idx="19">
                  <c:v>38.80498166666668</c:v>
                </c:pt>
                <c:pt idx="20">
                  <c:v>32.9189388888889</c:v>
                </c:pt>
                <c:pt idx="21">
                  <c:v>5.590956666666658</c:v>
                </c:pt>
                <c:pt idx="22">
                  <c:v>0.0</c:v>
                </c:pt>
                <c:pt idx="23">
                  <c:v>-4.409726352392214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55112"/>
        <c:axId val="2089560904"/>
      </c:scatterChart>
      <c:valAx>
        <c:axId val="208955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Radius [cm]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560904"/>
        <c:crossesAt val="0.0"/>
        <c:crossBetween val="midCat"/>
      </c:valAx>
      <c:valAx>
        <c:axId val="20895609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Temperature [C]</a:t>
                </a:r>
              </a:p>
            </c:rich>
          </c:tx>
          <c:layout/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555112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'SS Rod Radial Profile_20'!$AB$31:$AB$31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solidFill>
                <a:srgbClr val="000000"/>
              </a:solidFill>
              <a:round/>
            </a:ln>
          </c:spPr>
          <c:marker>
            <c:symbol val="diamond"/>
            <c:size val="7"/>
          </c:marker>
          <c:xVal>
            <c:numRef>
              <c:f>'SS Rod Radial Profile_20'!$C$30:$M$30</c:f>
              <c:numCache>
                <c:formatCode>0.000</c:formatCode>
                <c:ptCount val="11"/>
                <c:pt idx="0">
                  <c:v>0.0</c:v>
                </c:pt>
                <c:pt idx="1">
                  <c:v>0.0148529173234228</c:v>
                </c:pt>
                <c:pt idx="2">
                  <c:v>0.0332121327993576</c:v>
                </c:pt>
                <c:pt idx="3">
                  <c:v>0.0535529549998282</c:v>
                </c:pt>
                <c:pt idx="4">
                  <c:v>0.0742645866171139</c:v>
                </c:pt>
                <c:pt idx="5">
                  <c:v>0.0951050749101948</c:v>
                </c:pt>
                <c:pt idx="6">
                  <c:v>0.116004992711531</c:v>
                </c:pt>
                <c:pt idx="7">
                  <c:v>0.136937131583792</c:v>
                </c:pt>
                <c:pt idx="8">
                  <c:v>0.157888676892477</c:v>
                </c:pt>
                <c:pt idx="9">
                  <c:v>0.178852808720978</c:v>
                </c:pt>
                <c:pt idx="10">
                  <c:v>0.199825565671599</c:v>
                </c:pt>
              </c:numCache>
            </c:numRef>
          </c:xVal>
          <c:yVal>
            <c:numRef>
              <c:f>'SS Rod Radial Profile_20'!$R$31:$AD$31</c:f>
              <c:numCache>
                <c:formatCode>0.000</c:formatCode>
                <c:ptCount val="13"/>
                <c:pt idx="0">
                  <c:v>59.61237456816043</c:v>
                </c:pt>
                <c:pt idx="1">
                  <c:v>54.94191802799745</c:v>
                </c:pt>
                <c:pt idx="2">
                  <c:v>49.96009771849005</c:v>
                </c:pt>
                <c:pt idx="3">
                  <c:v>44.66691363963784</c:v>
                </c:pt>
                <c:pt idx="4">
                  <c:v>39.0623657914423</c:v>
                </c:pt>
                <c:pt idx="5">
                  <c:v>33.18576308171949</c:v>
                </c:pt>
                <c:pt idx="6">
                  <c:v>5.814058678433464</c:v>
                </c:pt>
                <c:pt idx="7">
                  <c:v>0.0</c:v>
                </c:pt>
                <c:pt idx="8">
                  <c:v>-3.963728480869044</c:v>
                </c:pt>
                <c:pt idx="10" formatCode="General">
                  <c:v>0.0</c:v>
                </c:pt>
                <c:pt idx="11" formatCode="0.00">
                  <c:v>-0.902794254601829</c:v>
                </c:pt>
                <c:pt idx="12" formatCode="0.00">
                  <c:v>-0.916146460413898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'SS Rod Radial Profile_20'!$AB$32:$AB$32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xVal>
            <c:numRef>
              <c:f>'SS Rod Radial Profile_20'!$C$30:$M$30</c:f>
              <c:numCache>
                <c:formatCode>0.000</c:formatCode>
                <c:ptCount val="11"/>
                <c:pt idx="0">
                  <c:v>0.0</c:v>
                </c:pt>
                <c:pt idx="1">
                  <c:v>0.0148529173234228</c:v>
                </c:pt>
                <c:pt idx="2">
                  <c:v>0.0332121327993576</c:v>
                </c:pt>
                <c:pt idx="3">
                  <c:v>0.0535529549998282</c:v>
                </c:pt>
                <c:pt idx="4">
                  <c:v>0.0742645866171139</c:v>
                </c:pt>
                <c:pt idx="5">
                  <c:v>0.0951050749101948</c:v>
                </c:pt>
                <c:pt idx="6">
                  <c:v>0.116004992711531</c:v>
                </c:pt>
                <c:pt idx="7">
                  <c:v>0.136937131583792</c:v>
                </c:pt>
                <c:pt idx="8">
                  <c:v>0.157888676892477</c:v>
                </c:pt>
                <c:pt idx="9">
                  <c:v>0.178852808720978</c:v>
                </c:pt>
                <c:pt idx="10">
                  <c:v>0.199825565671599</c:v>
                </c:pt>
              </c:numCache>
            </c:numRef>
          </c:xVal>
          <c:yVal>
            <c:numRef>
              <c:f>'SS Rod Radial Profile_20'!$R$32:$AD$32</c:f>
              <c:numCache>
                <c:formatCode>0.000</c:formatCode>
                <c:ptCount val="13"/>
                <c:pt idx="0">
                  <c:v>59.25751666666662</c:v>
                </c:pt>
                <c:pt idx="1">
                  <c:v>54.61504166666663</c:v>
                </c:pt>
                <c:pt idx="2">
                  <c:v>49.66050611111105</c:v>
                </c:pt>
                <c:pt idx="3">
                  <c:v>44.39395222222218</c:v>
                </c:pt>
                <c:pt idx="4">
                  <c:v>38.81540611111107</c:v>
                </c:pt>
                <c:pt idx="5">
                  <c:v>32.92779611111106</c:v>
                </c:pt>
                <c:pt idx="6">
                  <c:v>5.59249222222219</c:v>
                </c:pt>
                <c:pt idx="7">
                  <c:v>0.0</c:v>
                </c:pt>
                <c:pt idx="8">
                  <c:v>-4.41120801905893</c:v>
                </c:pt>
                <c:pt idx="10" formatCode="General">
                  <c:v>0.0</c:v>
                </c:pt>
                <c:pt idx="11" formatCode="0.00">
                  <c:v>-0.748653884231444</c:v>
                </c:pt>
                <c:pt idx="12" formatCode="0.00">
                  <c:v>-0.76220590485832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92600"/>
        <c:axId val="2089595928"/>
      </c:scatterChart>
      <c:valAx>
        <c:axId val="2089592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595928"/>
        <c:crossesAt val="0.0"/>
        <c:crossBetween val="midCat"/>
      </c:valAx>
      <c:valAx>
        <c:axId val="20895959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592600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Fuel_Centerline_Temperature!$K$8:$K$8</c:f>
              <c:strCache>
                <c:ptCount val="1"/>
                <c:pt idx="0">
                  <c:v>Semi-implicit Trans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7"/>
          </c:marker>
          <c:trendline>
            <c:spPr>
              <a:ln>
                <a:solidFill>
                  <a:srgbClr val="FF420E"/>
                </a:solidFill>
              </a:ln>
            </c:spPr>
            <c:trendlineType val="powe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Fuel_Centerline_Temperature!$E$9:$E$11</c:f>
              <c:numCache>
                <c:formatCode>General</c:formatCode>
                <c:ptCount val="3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</c:numCache>
            </c:numRef>
          </c:xVal>
          <c:yVal>
            <c:numRef>
              <c:f>Fuel_Centerline_Temperature!$K$9:$K$11</c:f>
              <c:numCache>
                <c:formatCode>0.00%</c:formatCode>
                <c:ptCount val="3"/>
                <c:pt idx="0">
                  <c:v>0.0445657570384807</c:v>
                </c:pt>
                <c:pt idx="1">
                  <c:v>0.0206638628818788</c:v>
                </c:pt>
                <c:pt idx="2">
                  <c:v>0.00977225501829393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Fuel_Centerline_Temperature!$L$8:$L$8</c:f>
              <c:strCache>
                <c:ptCount val="1"/>
                <c:pt idx="0">
                  <c:v>Implicit SS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Fuel_Centerline_Temperature!$E$9:$E$11</c:f>
              <c:numCache>
                <c:formatCode>General</c:formatCode>
                <c:ptCount val="3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</c:numCache>
            </c:numRef>
          </c:xVal>
          <c:yVal>
            <c:numRef>
              <c:f>Fuel_Centerline_Temperature!$L$9:$L$11</c:f>
              <c:numCache>
                <c:formatCode>0.00%</c:formatCode>
                <c:ptCount val="3"/>
                <c:pt idx="0">
                  <c:v>0.0425961133019778</c:v>
                </c:pt>
                <c:pt idx="1">
                  <c:v>0.0189159781339794</c:v>
                </c:pt>
                <c:pt idx="2">
                  <c:v>0.0100747704484626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Fuel_Centerline_Temperature!$M$8:$M$8</c:f>
              <c:strCache>
                <c:ptCount val="1"/>
                <c:pt idx="0">
                  <c:v>Implicit Trans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Fuel_Centerline_Temperature!$E$9:$E$11</c:f>
              <c:numCache>
                <c:formatCode>General</c:formatCode>
                <c:ptCount val="3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</c:numCache>
            </c:numRef>
          </c:xVal>
          <c:yVal>
            <c:numRef>
              <c:f>Fuel_Centerline_Temperature!$M$9:$M$11</c:f>
              <c:numCache>
                <c:formatCode>0.00%</c:formatCode>
                <c:ptCount val="3"/>
                <c:pt idx="0">
                  <c:v>0.044896347895476</c:v>
                </c:pt>
                <c:pt idx="1">
                  <c:v>0.0209739293710846</c:v>
                </c:pt>
                <c:pt idx="2">
                  <c:v>0.0100747704484626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649192"/>
        <c:axId val="2089652680"/>
      </c:scatterChart>
      <c:valAx>
        <c:axId val="2089649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652680"/>
        <c:crosses val="autoZero"/>
        <c:crossBetween val="midCat"/>
      </c:valAx>
      <c:valAx>
        <c:axId val="20896526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896491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724680</xdr:colOff>
      <xdr:row>50</xdr:row>
      <xdr:rowOff>97920</xdr:rowOff>
    </xdr:from>
    <xdr:to>
      <xdr:col>6</xdr:col>
      <xdr:colOff>291240</xdr:colOff>
      <xdr:row>67</xdr:row>
      <xdr:rowOff>119160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290520</xdr:colOff>
      <xdr:row>2</xdr:row>
      <xdr:rowOff>141120</xdr:rowOff>
    </xdr:from>
    <xdr:to>
      <xdr:col>13</xdr:col>
      <xdr:colOff>129600</xdr:colOff>
      <xdr:row>19</xdr:row>
      <xdr:rowOff>151920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697320</xdr:colOff>
      <xdr:row>47</xdr:row>
      <xdr:rowOff>119160</xdr:rowOff>
    </xdr:from>
    <xdr:to>
      <xdr:col>13</xdr:col>
      <xdr:colOff>699480</xdr:colOff>
      <xdr:row>64</xdr:row>
      <xdr:rowOff>141120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263880</xdr:colOff>
      <xdr:row>71</xdr:row>
      <xdr:rowOff>151920</xdr:rowOff>
    </xdr:from>
    <xdr:to>
      <xdr:col>7</xdr:col>
      <xdr:colOff>226440</xdr:colOff>
      <xdr:row>96</xdr:row>
      <xdr:rowOff>11160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697680</xdr:colOff>
      <xdr:row>66</xdr:row>
      <xdr:rowOff>87120</xdr:rowOff>
    </xdr:from>
    <xdr:to>
      <xdr:col>14</xdr:col>
      <xdr:colOff>536760</xdr:colOff>
      <xdr:row>83</xdr:row>
      <xdr:rowOff>97560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724680</xdr:colOff>
      <xdr:row>50</xdr:row>
      <xdr:rowOff>97920</xdr:rowOff>
    </xdr:from>
    <xdr:to>
      <xdr:col>6</xdr:col>
      <xdr:colOff>291240</xdr:colOff>
      <xdr:row>67</xdr:row>
      <xdr:rowOff>119160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290520</xdr:colOff>
      <xdr:row>2</xdr:row>
      <xdr:rowOff>141120</xdr:rowOff>
    </xdr:from>
    <xdr:to>
      <xdr:col>13</xdr:col>
      <xdr:colOff>129600</xdr:colOff>
      <xdr:row>19</xdr:row>
      <xdr:rowOff>151920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697320</xdr:colOff>
      <xdr:row>47</xdr:row>
      <xdr:rowOff>119160</xdr:rowOff>
    </xdr:from>
    <xdr:to>
      <xdr:col>13</xdr:col>
      <xdr:colOff>699480</xdr:colOff>
      <xdr:row>64</xdr:row>
      <xdr:rowOff>141120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263880</xdr:colOff>
      <xdr:row>71</xdr:row>
      <xdr:rowOff>151920</xdr:rowOff>
    </xdr:from>
    <xdr:to>
      <xdr:col>7</xdr:col>
      <xdr:colOff>226440</xdr:colOff>
      <xdr:row>96</xdr:row>
      <xdr:rowOff>11160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697680</xdr:colOff>
      <xdr:row>66</xdr:row>
      <xdr:rowOff>87120</xdr:rowOff>
    </xdr:from>
    <xdr:to>
      <xdr:col>14</xdr:col>
      <xdr:colOff>536760</xdr:colOff>
      <xdr:row>83</xdr:row>
      <xdr:rowOff>97560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724680</xdr:colOff>
      <xdr:row>50</xdr:row>
      <xdr:rowOff>97920</xdr:rowOff>
    </xdr:from>
    <xdr:to>
      <xdr:col>6</xdr:col>
      <xdr:colOff>291240</xdr:colOff>
      <xdr:row>67</xdr:row>
      <xdr:rowOff>119160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290520</xdr:colOff>
      <xdr:row>2</xdr:row>
      <xdr:rowOff>141120</xdr:rowOff>
    </xdr:from>
    <xdr:to>
      <xdr:col>13</xdr:col>
      <xdr:colOff>129600</xdr:colOff>
      <xdr:row>19</xdr:row>
      <xdr:rowOff>151920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697320</xdr:colOff>
      <xdr:row>47</xdr:row>
      <xdr:rowOff>119160</xdr:rowOff>
    </xdr:from>
    <xdr:to>
      <xdr:col>13</xdr:col>
      <xdr:colOff>699480</xdr:colOff>
      <xdr:row>64</xdr:row>
      <xdr:rowOff>141120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263880</xdr:colOff>
      <xdr:row>71</xdr:row>
      <xdr:rowOff>151920</xdr:rowOff>
    </xdr:from>
    <xdr:to>
      <xdr:col>7</xdr:col>
      <xdr:colOff>226440</xdr:colOff>
      <xdr:row>96</xdr:row>
      <xdr:rowOff>11160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697680</xdr:colOff>
      <xdr:row>66</xdr:row>
      <xdr:rowOff>87120</xdr:rowOff>
    </xdr:from>
    <xdr:to>
      <xdr:col>14</xdr:col>
      <xdr:colOff>536760</xdr:colOff>
      <xdr:row>83</xdr:row>
      <xdr:rowOff>97560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53640</xdr:colOff>
      <xdr:row>1</xdr:row>
      <xdr:rowOff>133200</xdr:rowOff>
    </xdr:from>
    <xdr:to>
      <xdr:col>29</xdr:col>
      <xdr:colOff>123840</xdr:colOff>
      <xdr:row>21</xdr:row>
      <xdr:rowOff>121680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B25" zoomScale="90" zoomScaleNormal="90" zoomScalePageLayoutView="90" workbookViewId="0">
      <selection activeCell="H29" sqref="H29"/>
    </sheetView>
  </sheetViews>
  <sheetFormatPr baseColWidth="10" defaultColWidth="8.83203125" defaultRowHeight="12" x14ac:dyDescent="0"/>
  <cols>
    <col min="3" max="5" width="8.83203125" style="4"/>
  </cols>
  <sheetData>
    <row r="1" spans="3:14">
      <c r="G1" s="5"/>
    </row>
    <row r="2" spans="3:14">
      <c r="G2" s="5"/>
    </row>
    <row r="3" spans="3:14">
      <c r="C3" s="6" t="s">
        <v>0</v>
      </c>
      <c r="G3" s="7" t="s">
        <v>1</v>
      </c>
      <c r="L3" s="7" t="s">
        <v>2</v>
      </c>
    </row>
    <row r="4" spans="3:14">
      <c r="C4" s="4" t="s">
        <v>3</v>
      </c>
      <c r="D4" s="4">
        <v>10</v>
      </c>
      <c r="G4" t="s">
        <v>4</v>
      </c>
      <c r="H4" s="8">
        <v>5.3770697959999998</v>
      </c>
      <c r="I4" t="s">
        <v>5</v>
      </c>
      <c r="L4" s="4" t="s">
        <v>6</v>
      </c>
      <c r="M4" s="4" t="s">
        <v>7</v>
      </c>
      <c r="N4" s="4" t="s">
        <v>8</v>
      </c>
    </row>
    <row r="5" spans="3:14">
      <c r="C5" s="4" t="s">
        <v>9</v>
      </c>
      <c r="D5" s="4">
        <v>20</v>
      </c>
      <c r="G5" t="s">
        <v>10</v>
      </c>
      <c r="H5" s="8">
        <v>14.83</v>
      </c>
      <c r="I5" t="s">
        <v>5</v>
      </c>
      <c r="L5" s="4" t="s">
        <v>11</v>
      </c>
      <c r="M5" s="4" t="s">
        <v>12</v>
      </c>
      <c r="N5" s="4">
        <v>1.0543499999999999</v>
      </c>
    </row>
    <row r="6" spans="3:14">
      <c r="C6" s="4" t="s">
        <v>13</v>
      </c>
      <c r="D6" s="4">
        <v>3.6579999999999999</v>
      </c>
      <c r="E6" s="4" t="s">
        <v>14</v>
      </c>
      <c r="G6" t="s">
        <v>15</v>
      </c>
      <c r="H6" s="9">
        <v>10970.404570000001</v>
      </c>
      <c r="I6" t="s">
        <v>16</v>
      </c>
      <c r="L6" s="4" t="s">
        <v>17</v>
      </c>
      <c r="M6" s="4" t="s">
        <v>14</v>
      </c>
      <c r="N6" s="4">
        <v>0.30480099999999999</v>
      </c>
    </row>
    <row r="7" spans="3:14">
      <c r="C7" s="4" t="s">
        <v>18</v>
      </c>
      <c r="D7" s="4">
        <f>Problem_Setup!D6/Problem_Setup!D5</f>
        <v>0.18290000000000001</v>
      </c>
      <c r="E7" s="4" t="s">
        <v>14</v>
      </c>
      <c r="G7" t="s">
        <v>19</v>
      </c>
      <c r="H7" s="4">
        <v>8470.57</v>
      </c>
      <c r="I7" t="s">
        <v>16</v>
      </c>
      <c r="L7" s="4" t="s">
        <v>20</v>
      </c>
      <c r="M7" s="4" t="s">
        <v>21</v>
      </c>
      <c r="N7" s="4">
        <f>5/9</f>
        <v>0.55555555555555558</v>
      </c>
    </row>
    <row r="8" spans="3:14">
      <c r="C8" s="4" t="s">
        <v>22</v>
      </c>
      <c r="D8" s="4">
        <f>0.45</f>
        <v>0.45</v>
      </c>
      <c r="E8" s="4" t="s">
        <v>23</v>
      </c>
      <c r="G8" t="s">
        <v>24</v>
      </c>
      <c r="H8" s="10">
        <v>0.28894779599999998</v>
      </c>
      <c r="I8" t="s">
        <v>25</v>
      </c>
      <c r="L8" t="s">
        <v>26</v>
      </c>
      <c r="M8" t="s">
        <v>27</v>
      </c>
      <c r="N8">
        <f>1000*t_btu_kw/(t_R_K*t_ft_m^2)/3600</f>
        <v>5.674427240093328</v>
      </c>
    </row>
    <row r="9" spans="3:14">
      <c r="C9" s="4" t="s">
        <v>28</v>
      </c>
      <c r="D9" s="4">
        <f>0.8192/2</f>
        <v>0.40960000000000002</v>
      </c>
      <c r="E9" s="4" t="s">
        <v>23</v>
      </c>
      <c r="G9" t="s">
        <v>29</v>
      </c>
      <c r="H9" s="10">
        <v>0.43099999999999999</v>
      </c>
      <c r="I9" t="s">
        <v>25</v>
      </c>
    </row>
    <row r="10" spans="3:14">
      <c r="C10" s="4" t="s">
        <v>30</v>
      </c>
      <c r="D10" s="11">
        <f>0.057</f>
        <v>5.7000000000000002E-2</v>
      </c>
      <c r="E10" s="4" t="s">
        <v>23</v>
      </c>
      <c r="G10" t="s">
        <v>31</v>
      </c>
      <c r="H10" s="9">
        <v>5678.3</v>
      </c>
      <c r="I10" t="s">
        <v>27</v>
      </c>
      <c r="L10" s="12"/>
    </row>
    <row r="11" spans="3:14">
      <c r="C11" s="4" t="s">
        <v>32</v>
      </c>
      <c r="D11" s="4">
        <f>D10-(D8-D9)</f>
        <v>1.6600000000000011E-2</v>
      </c>
      <c r="E11" s="4" t="s">
        <v>14</v>
      </c>
    </row>
    <row r="12" spans="3:14">
      <c r="C12" s="4" t="s">
        <v>33</v>
      </c>
      <c r="D12" s="4">
        <v>1.26</v>
      </c>
      <c r="E12" s="4" t="s">
        <v>23</v>
      </c>
    </row>
    <row r="13" spans="3:14">
      <c r="C13" s="4" t="s">
        <v>34</v>
      </c>
      <c r="D13" s="13">
        <f>(2*PI()*'SS Rod Radial Profile_10'!O30/100*Problem_Setup!D7)</f>
        <v>5.4586922242814001E-3</v>
      </c>
      <c r="E13" s="4" t="s">
        <v>35</v>
      </c>
      <c r="I13" s="9"/>
    </row>
    <row r="14" spans="3:14">
      <c r="C14" s="4" t="s">
        <v>36</v>
      </c>
      <c r="D14" s="14">
        <f>(D12^2-(PI()*D8^2))*10^-4</f>
        <v>9.51427487648067E-5</v>
      </c>
      <c r="E14" s="4" t="s">
        <v>35</v>
      </c>
    </row>
    <row r="15" spans="3:14">
      <c r="C15" s="4" t="s">
        <v>37</v>
      </c>
      <c r="D15" s="14">
        <f>2*PI()*D8/100</f>
        <v>2.8274333882308138E-2</v>
      </c>
      <c r="E15" s="4" t="s">
        <v>14</v>
      </c>
      <c r="G15" s="7" t="s">
        <v>38</v>
      </c>
      <c r="M15" s="12"/>
    </row>
    <row r="16" spans="3:14">
      <c r="C16" s="4" t="s">
        <v>39</v>
      </c>
      <c r="E16" s="4" t="s">
        <v>40</v>
      </c>
      <c r="G16" t="s">
        <v>41</v>
      </c>
      <c r="H16" s="11">
        <v>0.31110354838709697</v>
      </c>
      <c r="I16" t="s">
        <v>42</v>
      </c>
    </row>
    <row r="17" spans="3:10">
      <c r="C17" s="4" t="s">
        <v>43</v>
      </c>
      <c r="D17" s="4">
        <f>A_surf*L_chan</f>
        <v>1.9967896156421361E-2</v>
      </c>
      <c r="E17" s="4" t="s">
        <v>44</v>
      </c>
      <c r="G17" t="s">
        <v>45</v>
      </c>
      <c r="H17" s="11">
        <v>3.8641217872042999E-2</v>
      </c>
      <c r="I17" t="s">
        <v>46</v>
      </c>
    </row>
    <row r="18" spans="3:10">
      <c r="C18" s="4" t="s">
        <v>47</v>
      </c>
      <c r="D18" s="4">
        <f>vol_fuel*Rho_fuel</f>
        <v>219.05589924769035</v>
      </c>
      <c r="E18" s="4" t="s">
        <v>48</v>
      </c>
      <c r="G18" t="s">
        <v>49</v>
      </c>
      <c r="H18" s="11">
        <f>Problem_Setup!D6/(2*'SS Rod Radial Profile_10'!O30/100)</f>
        <v>385.05136828705753</v>
      </c>
      <c r="J18" t="s">
        <v>50</v>
      </c>
    </row>
    <row r="19" spans="3:10">
      <c r="G19" t="s">
        <v>51</v>
      </c>
      <c r="H19" s="11">
        <v>738.52997840246906</v>
      </c>
    </row>
    <row r="20" spans="3:10">
      <c r="G20" t="s">
        <v>52</v>
      </c>
      <c r="H20" s="15">
        <v>449606.21216661902</v>
      </c>
      <c r="J20" t="s">
        <v>53</v>
      </c>
    </row>
    <row r="21" spans="3:10">
      <c r="G21" t="s">
        <v>54</v>
      </c>
      <c r="H21" s="11">
        <v>0.91397880732911596</v>
      </c>
      <c r="J21" t="s">
        <v>55</v>
      </c>
    </row>
    <row r="22" spans="3:10">
      <c r="C22" s="6" t="s">
        <v>56</v>
      </c>
      <c r="G22" t="s">
        <v>57</v>
      </c>
      <c r="H22" s="11">
        <v>1.65522355798267</v>
      </c>
      <c r="I22" t="s">
        <v>58</v>
      </c>
    </row>
    <row r="23" spans="3:10">
      <c r="C23" s="4" t="s">
        <v>59</v>
      </c>
      <c r="D23" s="4">
        <v>4</v>
      </c>
      <c r="E23" s="4" t="s">
        <v>60</v>
      </c>
      <c r="G23" t="s">
        <v>57</v>
      </c>
      <c r="H23" s="15">
        <f>Problem_Setup!H22*3600*t_htc</f>
        <v>33812.804325099816</v>
      </c>
      <c r="I23" t="s">
        <v>27</v>
      </c>
    </row>
    <row r="24" spans="3:10">
      <c r="C24" s="4" t="s">
        <v>61</v>
      </c>
      <c r="D24" s="10">
        <f>Problem_Setup!D23*Problem_Setup!D6</f>
        <v>14.632</v>
      </c>
      <c r="E24" s="4" t="s">
        <v>62</v>
      </c>
      <c r="G24" t="s">
        <v>63</v>
      </c>
      <c r="H24" s="11">
        <f>Problem_Setup!D24*1000/(Problem_Setup!H23*A_surf*Problem_Setup!D5)</f>
        <v>3.9637284808690443</v>
      </c>
      <c r="I24" t="s">
        <v>21</v>
      </c>
    </row>
    <row r="25" spans="3:10">
      <c r="C25" s="4" t="s">
        <v>64</v>
      </c>
      <c r="D25" s="4">
        <f>Problem_Setup!D23/(PI()*((Problem_Setup!D9/100)^2))</f>
        <v>75890.990777919462</v>
      </c>
      <c r="E25" s="4" t="s">
        <v>65</v>
      </c>
    </row>
    <row r="26" spans="3:10">
      <c r="C26" s="4" t="s">
        <v>66</v>
      </c>
      <c r="D26" s="4">
        <f>Problem_Setup!D24/A_surf</f>
        <v>2680.4955104290025</v>
      </c>
      <c r="E26" s="4" t="s">
        <v>67</v>
      </c>
    </row>
    <row r="27" spans="3:10">
      <c r="G27" s="7" t="s">
        <v>68</v>
      </c>
    </row>
    <row r="28" spans="3:10">
      <c r="G28" t="s">
        <v>69</v>
      </c>
      <c r="H28">
        <f>1/(hgap*2*PI()*R_fuel/100*dz)</f>
        <v>3.7413483328712444E-2</v>
      </c>
      <c r="I28" t="s">
        <v>70</v>
      </c>
    </row>
    <row r="29" spans="3:10">
      <c r="C29" s="6" t="s">
        <v>71</v>
      </c>
      <c r="G29" t="s">
        <v>72</v>
      </c>
      <c r="H29">
        <f>LN(R_rod/(R_rod-D10))/(2*PI()*dz*k_clad)</f>
        <v>7.9470457605706184E-3</v>
      </c>
      <c r="I29" t="s">
        <v>70</v>
      </c>
    </row>
    <row r="30" spans="3:10">
      <c r="C30" s="4" t="s">
        <v>73</v>
      </c>
      <c r="D30" s="4">
        <v>0.3</v>
      </c>
      <c r="E30" s="4" t="s">
        <v>74</v>
      </c>
      <c r="G30" t="s">
        <v>75</v>
      </c>
      <c r="H30">
        <f>1/(A_surf*H23)</f>
        <v>5.417890214419142E-3</v>
      </c>
      <c r="I30" t="s">
        <v>70</v>
      </c>
    </row>
    <row r="31" spans="3:10">
      <c r="C31" s="4" t="s">
        <v>76</v>
      </c>
      <c r="D31" s="4">
        <v>16.5</v>
      </c>
      <c r="E31" s="4" t="s">
        <v>77</v>
      </c>
    </row>
    <row r="32" spans="3:10">
      <c r="C32" s="4" t="s">
        <v>78</v>
      </c>
      <c r="D32" s="4">
        <v>290</v>
      </c>
      <c r="E32" s="4" t="s">
        <v>79</v>
      </c>
      <c r="G32" s="7" t="s">
        <v>80</v>
      </c>
    </row>
    <row r="33" spans="1:9">
      <c r="C33" s="4" t="s">
        <v>81</v>
      </c>
      <c r="D33" s="4">
        <v>1283.8</v>
      </c>
      <c r="E33" s="4" t="s">
        <v>82</v>
      </c>
      <c r="G33" t="s">
        <v>83</v>
      </c>
      <c r="H33">
        <f>q_lin*dz*1000*H28</f>
        <v>27.371704403286024</v>
      </c>
      <c r="I33" t="s">
        <v>21</v>
      </c>
    </row>
    <row r="34" spans="1:9">
      <c r="C34" s="4" t="s">
        <v>84</v>
      </c>
      <c r="D34" s="4">
        <v>5.2188999999999997</v>
      </c>
      <c r="E34" s="4" t="s">
        <v>85</v>
      </c>
      <c r="G34" t="s">
        <v>86</v>
      </c>
      <c r="H34">
        <f>q_lin*dz*1000*H29</f>
        <v>5.8140586784334642</v>
      </c>
      <c r="I34" t="s">
        <v>21</v>
      </c>
    </row>
    <row r="35" spans="1:9">
      <c r="C35" s="4" t="s">
        <v>87</v>
      </c>
      <c r="D35" s="4">
        <v>0.58213000000000004</v>
      </c>
      <c r="E35" s="4" t="s">
        <v>88</v>
      </c>
      <c r="G35" t="s">
        <v>89</v>
      </c>
      <c r="H35">
        <f>q_lin*dz*1000*H30</f>
        <v>3.9637284808690443</v>
      </c>
      <c r="I35" t="s">
        <v>21</v>
      </c>
    </row>
    <row r="36" spans="1:9">
      <c r="C36" s="4" t="s">
        <v>90</v>
      </c>
      <c r="D36" s="15">
        <v>9.2744999999999994E-5</v>
      </c>
      <c r="E36" s="4" t="s">
        <v>91</v>
      </c>
    </row>
    <row r="37" spans="1:9">
      <c r="A37" s="4" t="s">
        <v>92</v>
      </c>
      <c r="B37" s="4">
        <f>(D34+D38)/2</f>
        <v>5.3213499999999998</v>
      </c>
      <c r="C37" s="4" t="s">
        <v>93</v>
      </c>
      <c r="D37" s="4">
        <f>D32+D24/(B37*M_dot)</f>
        <v>299.1655939438927</v>
      </c>
      <c r="E37" s="4" t="s">
        <v>79</v>
      </c>
    </row>
    <row r="38" spans="1:9">
      <c r="A38" s="4" t="s">
        <v>85</v>
      </c>
      <c r="C38" s="4" t="s">
        <v>94</v>
      </c>
      <c r="D38" s="4">
        <v>5.4238</v>
      </c>
      <c r="E38" s="4" t="s">
        <v>85</v>
      </c>
    </row>
    <row r="39" spans="1:9">
      <c r="C39" s="4" t="s">
        <v>95</v>
      </c>
      <c r="D39" s="4">
        <v>0.58213000000000004</v>
      </c>
      <c r="E39" s="4" t="s">
        <v>88</v>
      </c>
    </row>
    <row r="40" spans="1:9">
      <c r="C40" s="4" t="s">
        <v>96</v>
      </c>
      <c r="E40" s="4" t="s">
        <v>91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opLeftCell="A14" zoomScale="90" zoomScaleNormal="90" zoomScalePageLayoutView="90" workbookViewId="0">
      <selection activeCell="D26" sqref="D26:J28"/>
    </sheetView>
  </sheetViews>
  <sheetFormatPr baseColWidth="10" defaultColWidth="8.83203125" defaultRowHeight="12" x14ac:dyDescent="0"/>
  <sheetData>
    <row r="1" spans="2:5">
      <c r="B1" s="3" t="s">
        <v>97</v>
      </c>
      <c r="C1" s="3"/>
      <c r="D1" s="3"/>
      <c r="E1" s="3"/>
    </row>
    <row r="2" spans="2:5">
      <c r="B2" s="3"/>
      <c r="C2" s="3"/>
      <c r="D2" s="3"/>
      <c r="E2" s="3"/>
    </row>
    <row r="4" spans="2:5">
      <c r="B4" t="s">
        <v>98</v>
      </c>
    </row>
    <row r="6" spans="2:5">
      <c r="B6" s="7" t="s">
        <v>99</v>
      </c>
    </row>
    <row r="7" spans="2:5">
      <c r="C7" t="s">
        <v>100</v>
      </c>
      <c r="D7" t="s">
        <v>101</v>
      </c>
      <c r="E7" t="s">
        <v>101</v>
      </c>
    </row>
    <row r="8" spans="2:5">
      <c r="C8" t="s">
        <v>102</v>
      </c>
      <c r="D8" t="s">
        <v>103</v>
      </c>
      <c r="E8" t="s">
        <v>82</v>
      </c>
    </row>
    <row r="9" spans="2:5">
      <c r="B9" s="4" t="s">
        <v>104</v>
      </c>
      <c r="C9" s="10">
        <v>0.66138600000000003</v>
      </c>
      <c r="D9" s="4">
        <v>554.23225806451603</v>
      </c>
      <c r="E9" s="4">
        <f>2.326*D9</f>
        <v>1289.1442322580642</v>
      </c>
    </row>
    <row r="10" spans="2:5">
      <c r="B10" s="4" t="s">
        <v>105</v>
      </c>
      <c r="C10" s="10">
        <v>0.66139538674123899</v>
      </c>
      <c r="D10" s="4">
        <v>575.139866822724</v>
      </c>
      <c r="E10" s="4">
        <f>2.326*D10</f>
        <v>1337.775330229656</v>
      </c>
    </row>
    <row r="11" spans="2:5">
      <c r="B11" s="4" t="s">
        <v>106</v>
      </c>
      <c r="C11" s="4">
        <f>C10</f>
        <v>0.66139538674123899</v>
      </c>
      <c r="D11" s="4">
        <v>574.87013844999206</v>
      </c>
      <c r="E11" s="4">
        <f>2.326*D11</f>
        <v>1337.1479420346816</v>
      </c>
    </row>
    <row r="12" spans="2:5">
      <c r="B12" s="4" t="s">
        <v>107</v>
      </c>
      <c r="C12" s="4">
        <f>C11</f>
        <v>0.66139538674123899</v>
      </c>
      <c r="D12" s="4">
        <v>575.51049558913098</v>
      </c>
      <c r="E12" s="4">
        <f>2.326*D12</f>
        <v>1338.6374127403187</v>
      </c>
    </row>
    <row r="16" spans="2:5">
      <c r="B16" s="7" t="s">
        <v>108</v>
      </c>
    </row>
    <row r="17" spans="1:25">
      <c r="B17" s="4"/>
      <c r="C17" s="4" t="s">
        <v>109</v>
      </c>
      <c r="D17" s="4" t="s">
        <v>110</v>
      </c>
      <c r="E17" s="4" t="s">
        <v>111</v>
      </c>
    </row>
    <row r="18" spans="1:25">
      <c r="B18" s="4"/>
      <c r="C18" s="4" t="s">
        <v>82</v>
      </c>
      <c r="D18" s="4" t="s">
        <v>62</v>
      </c>
      <c r="E18" s="4" t="s">
        <v>60</v>
      </c>
    </row>
    <row r="19" spans="1:25">
      <c r="B19" s="4" t="s">
        <v>112</v>
      </c>
      <c r="C19" s="4">
        <f>q_lin*L_chan/(M_dot)</f>
        <v>48.773333333333333</v>
      </c>
      <c r="D19" s="16">
        <f>M_dot*C19</f>
        <v>14.632</v>
      </c>
      <c r="E19" s="8">
        <f>q_lin</f>
        <v>4</v>
      </c>
      <c r="F19" t="s">
        <v>113</v>
      </c>
    </row>
    <row r="20" spans="1:25">
      <c r="B20" s="4" t="s">
        <v>105</v>
      </c>
      <c r="C20" s="8">
        <f>E10-$E$9</f>
        <v>48.631097971591771</v>
      </c>
      <c r="D20" s="16">
        <f>M_dot*C20</f>
        <v>14.589329391477531</v>
      </c>
      <c r="E20" s="8">
        <f>D20/L_chan</f>
        <v>3.9883349894689806</v>
      </c>
      <c r="F20" s="17">
        <f>(E20-$E$19)/$E$19</f>
        <v>-2.9162526327548566E-3</v>
      </c>
    </row>
    <row r="21" spans="1:25">
      <c r="B21" s="4" t="s">
        <v>106</v>
      </c>
      <c r="C21" s="8">
        <f>E11-$E$9</f>
        <v>48.00370977661737</v>
      </c>
      <c r="D21" s="16">
        <f>M_dot*C21</f>
        <v>14.40111293298521</v>
      </c>
      <c r="E21" s="8">
        <f>D21/L_chan</f>
        <v>3.9368816109855689</v>
      </c>
      <c r="F21" s="17">
        <f>(E21-$E$19)/$E$19</f>
        <v>-1.577959725360778E-2</v>
      </c>
    </row>
    <row r="22" spans="1:25">
      <c r="B22" s="4" t="s">
        <v>107</v>
      </c>
      <c r="C22" s="8">
        <f>E12-$E$9</f>
        <v>49.493180482254502</v>
      </c>
      <c r="D22" s="16">
        <f>M_dot*C22</f>
        <v>14.847954144676351</v>
      </c>
      <c r="E22" s="8">
        <f>D22/L_chan</f>
        <v>4.0590361248431792</v>
      </c>
      <c r="F22" s="17">
        <f>(E22-$E$19)/$E$19</f>
        <v>1.4759031210794804E-2</v>
      </c>
    </row>
    <row r="23" spans="1:25">
      <c r="C23" s="7" t="s">
        <v>99</v>
      </c>
    </row>
    <row r="24" spans="1:25">
      <c r="B24" t="s">
        <v>114</v>
      </c>
      <c r="D24" s="12">
        <f>D25</f>
        <v>2.11162829960637E-3</v>
      </c>
      <c r="E24" s="12">
        <f>E25</f>
        <v>4.7217444211321404E-3</v>
      </c>
      <c r="F24">
        <f>F25-E25</f>
        <v>2.89183968781947E-3</v>
      </c>
      <c r="G24">
        <f>G25-F25</f>
        <v>2.9445573890802901E-3</v>
      </c>
      <c r="H24">
        <f>H25-G25</f>
        <v>2.8801787119419001E-3</v>
      </c>
      <c r="I24">
        <f>I25-H25</f>
        <v>2.7559055118109993E-4</v>
      </c>
      <c r="J24">
        <f>J25-I25</f>
        <v>1.8700787401573996E-3</v>
      </c>
      <c r="K24" s="4" t="s">
        <v>115</v>
      </c>
    </row>
    <row r="25" spans="1:25">
      <c r="B25" t="s">
        <v>116</v>
      </c>
      <c r="C25" s="12">
        <v>0</v>
      </c>
      <c r="D25" s="12">
        <v>2.11162829960637E-3</v>
      </c>
      <c r="E25" s="12">
        <v>4.7217444211321404E-3</v>
      </c>
      <c r="F25" s="12">
        <v>7.6135841089516104E-3</v>
      </c>
      <c r="G25" s="12">
        <v>1.05581414980319E-2</v>
      </c>
      <c r="H25" s="12">
        <v>1.3438320209973801E-2</v>
      </c>
      <c r="I25" s="12">
        <v>1.3713910761154901E-2</v>
      </c>
      <c r="J25" s="12">
        <v>1.55839895013123E-2</v>
      </c>
      <c r="K25" s="18">
        <f>(t_in+q_lin*dz*2/(M_dot*cp_in))*9/5+32</f>
        <v>555.68219356569398</v>
      </c>
    </row>
    <row r="26" spans="1:25">
      <c r="A26" t="s">
        <v>117</v>
      </c>
      <c r="B26" s="4" t="s">
        <v>105</v>
      </c>
      <c r="C26" s="8">
        <f>1/3*(4*D26-E26)</f>
        <v>722.30656733333331</v>
      </c>
      <c r="D26" s="19">
        <v>719.22505999999998</v>
      </c>
      <c r="E26" s="8">
        <v>709.98053800000002</v>
      </c>
      <c r="F26" s="8">
        <v>691.125854</v>
      </c>
      <c r="G26" s="8">
        <v>661.50276199999996</v>
      </c>
      <c r="H26" s="8">
        <v>621.49555399999997</v>
      </c>
      <c r="I26" s="8">
        <v>573.28956300000004</v>
      </c>
      <c r="J26" s="8">
        <v>563.42727300000001</v>
      </c>
      <c r="K26" s="12">
        <f>K25</f>
        <v>555.68219356569398</v>
      </c>
    </row>
    <row r="27" spans="1:25">
      <c r="A27" t="s">
        <v>117</v>
      </c>
      <c r="B27" s="4" t="s">
        <v>106</v>
      </c>
      <c r="C27" s="8">
        <f>1/3*(4*D27-E27)</f>
        <v>722.65344966666657</v>
      </c>
      <c r="D27" s="20">
        <v>719.56436599999995</v>
      </c>
      <c r="E27">
        <v>710.29711499999996</v>
      </c>
      <c r="F27">
        <v>691.39834599999995</v>
      </c>
      <c r="G27">
        <v>661.71212700000001</v>
      </c>
      <c r="H27">
        <v>621.63046899999995</v>
      </c>
      <c r="I27">
        <v>573.328937</v>
      </c>
      <c r="J27">
        <v>563.44662300000005</v>
      </c>
      <c r="K27" s="12">
        <f>K26</f>
        <v>555.68219356569398</v>
      </c>
    </row>
    <row r="28" spans="1:25">
      <c r="A28" t="s">
        <v>117</v>
      </c>
      <c r="B28" s="4" t="s">
        <v>107</v>
      </c>
      <c r="C28" s="8">
        <f>1/3*(4*D28-E28)</f>
        <v>722.2483543333334</v>
      </c>
      <c r="D28" s="20">
        <v>719.16811900000005</v>
      </c>
      <c r="E28">
        <v>709.927413</v>
      </c>
      <c r="F28" s="12">
        <v>691.08012799999995</v>
      </c>
      <c r="G28" s="12">
        <v>661.46763099999998</v>
      </c>
      <c r="H28" s="12">
        <v>621.47291900000005</v>
      </c>
      <c r="I28" s="12">
        <v>573.282963</v>
      </c>
      <c r="J28" s="12">
        <v>563.42403400000001</v>
      </c>
      <c r="K28" s="12">
        <f>K27</f>
        <v>555.68219356569398</v>
      </c>
      <c r="M28" s="12"/>
    </row>
    <row r="29" spans="1:25">
      <c r="C29" s="7" t="s">
        <v>118</v>
      </c>
      <c r="K29" t="e">
        <f>D24/D5*I29</f>
        <v>#DIV/0!</v>
      </c>
    </row>
    <row r="30" spans="1:25">
      <c r="B30" s="4" t="s">
        <v>119</v>
      </c>
      <c r="C30" s="8">
        <f t="shared" ref="C30:J30" si="0">(C25)*t_ft_m*100</f>
        <v>0</v>
      </c>
      <c r="D30" s="8">
        <f t="shared" si="0"/>
        <v>6.436264173483211E-2</v>
      </c>
      <c r="E30" s="8">
        <f t="shared" si="0"/>
        <v>0.14391924213054974</v>
      </c>
      <c r="F30" s="8">
        <f t="shared" si="0"/>
        <v>0.23206280499925594</v>
      </c>
      <c r="G30" s="8">
        <f t="shared" si="0"/>
        <v>0.32181320867416213</v>
      </c>
      <c r="H30" s="8">
        <f t="shared" si="0"/>
        <v>0.40960134383202246</v>
      </c>
      <c r="I30" s="8">
        <f t="shared" si="0"/>
        <v>0.41800137139107751</v>
      </c>
      <c r="J30" s="8">
        <f t="shared" si="0"/>
        <v>0.47500155839894903</v>
      </c>
      <c r="L30" s="8"/>
      <c r="M30" s="6" t="s">
        <v>120</v>
      </c>
      <c r="N30" s="10"/>
      <c r="O30" s="4"/>
      <c r="P30" s="4"/>
      <c r="Q30" s="4"/>
      <c r="R30" s="4"/>
      <c r="S30" s="4"/>
      <c r="T30" s="4"/>
      <c r="U30" s="4"/>
    </row>
    <row r="31" spans="1:25">
      <c r="A31" t="s">
        <v>121</v>
      </c>
      <c r="B31" s="4" t="s">
        <v>112</v>
      </c>
      <c r="C31" s="8">
        <f>q_dot*1000/(4*k_fuel)*((R_fuel/100)^2)*(1-(C30/R_fuel)^2)+delta_gap+delta_clad</f>
        <v>92.383411291638822</v>
      </c>
      <c r="D31" s="8">
        <f>q_dot*1000/(4*k_fuel)*((R_fuel/100)^2)*(1-(D30/R_fuel)^2)+delta_gap+delta_clad</f>
        <v>90.921731374439602</v>
      </c>
      <c r="E31" s="8">
        <f>q_dot*1000/(4*k_fuel)*((R_fuel/100)^2)*(1-(E30/R_fuel)^2)+delta_gap+delta_clad</f>
        <v>85.075011705642709</v>
      </c>
      <c r="F31" s="8">
        <f>q_dot*1000/(4*k_fuel)*((R_fuel/100)^2)*(1-(F30/R_fuel)^2)+delta_gap+delta_clad</f>
        <v>73.38157236804895</v>
      </c>
      <c r="G31" s="8">
        <f>q_dot*1000/(4*k_fuel)*((R_fuel/100)^2)*(1-(G30/R_fuel)^2)+delta_gap+delta_clad</f>
        <v>55.841413361658013</v>
      </c>
      <c r="H31" s="8">
        <f>delta_gap+delta_clad</f>
        <v>33.185763081719486</v>
      </c>
      <c r="I31" s="8">
        <f>delta_clad</f>
        <v>5.8140586784334642</v>
      </c>
      <c r="J31" s="8">
        <v>0</v>
      </c>
      <c r="K31" s="8">
        <f>-delta_fluid</f>
        <v>-3.9637284808690443</v>
      </c>
      <c r="L31" s="4" t="s">
        <v>105</v>
      </c>
      <c r="M31" s="9">
        <f t="shared" ref="M31:Q33" si="1">C32-C$31</f>
        <v>-4.1171366620092158</v>
      </c>
      <c r="N31" s="9">
        <f t="shared" si="1"/>
        <v>-4.3674052633285072</v>
      </c>
      <c r="O31" s="9">
        <f t="shared" si="1"/>
        <v>-3.6565311500871474</v>
      </c>
      <c r="P31" s="9">
        <f t="shared" si="1"/>
        <v>-2.4379162569378394</v>
      </c>
      <c r="Q31" s="9">
        <f t="shared" si="1"/>
        <v>-1.3550305838802643</v>
      </c>
      <c r="R31" s="9">
        <f t="shared" ref="R31:U33" si="2">C32-C$31</f>
        <v>-4.1171366620092158</v>
      </c>
      <c r="S31" s="9">
        <f t="shared" si="2"/>
        <v>-4.3674052633285072</v>
      </c>
      <c r="T31" s="9">
        <f t="shared" si="2"/>
        <v>-3.6565311500871474</v>
      </c>
      <c r="U31" s="9">
        <f t="shared" si="2"/>
        <v>-2.4379162569378394</v>
      </c>
      <c r="V31" s="9">
        <f>H32-H$31</f>
        <v>-0.92560697060839914</v>
      </c>
      <c r="W31" s="9">
        <f t="shared" ref="W31:Y33" si="3">H32-H$31</f>
        <v>-0.92560697060839914</v>
      </c>
      <c r="X31" s="9">
        <f t="shared" si="3"/>
        <v>-0.33500867843344739</v>
      </c>
      <c r="Y31" s="9">
        <f t="shared" si="3"/>
        <v>0</v>
      </c>
    </row>
    <row r="32" spans="1:25">
      <c r="A32" t="s">
        <v>121</v>
      </c>
      <c r="B32" s="4" t="s">
        <v>105</v>
      </c>
      <c r="C32" s="8">
        <f t="shared" ref="C32:K32" si="4">(C26-$J26)*t_R_K</f>
        <v>88.266274629629606</v>
      </c>
      <c r="D32" s="8">
        <f t="shared" si="4"/>
        <v>86.554326111111095</v>
      </c>
      <c r="E32" s="8">
        <f t="shared" si="4"/>
        <v>81.418480555555561</v>
      </c>
      <c r="F32" s="8">
        <f t="shared" si="4"/>
        <v>70.94365611111111</v>
      </c>
      <c r="G32" s="8">
        <f t="shared" si="4"/>
        <v>54.486382777777749</v>
      </c>
      <c r="H32" s="8">
        <f t="shared" si="4"/>
        <v>32.260156111111087</v>
      </c>
      <c r="I32" s="8">
        <f t="shared" si="4"/>
        <v>5.4790500000000169</v>
      </c>
      <c r="J32" s="8">
        <f t="shared" si="4"/>
        <v>0</v>
      </c>
      <c r="K32" s="8">
        <f t="shared" si="4"/>
        <v>-4.3028219079477976</v>
      </c>
      <c r="L32" s="4" t="s">
        <v>106</v>
      </c>
      <c r="M32" s="9">
        <f t="shared" si="1"/>
        <v>-3.9351742546018613</v>
      </c>
      <c r="N32" s="9">
        <f t="shared" si="1"/>
        <v>-4.1896519299952075</v>
      </c>
      <c r="O32" s="9">
        <f t="shared" si="1"/>
        <v>-3.4914050389760831</v>
      </c>
      <c r="P32" s="9">
        <f t="shared" si="1"/>
        <v>-2.297281812493452</v>
      </c>
      <c r="Q32" s="9">
        <f t="shared" si="1"/>
        <v>-1.2494666949913622</v>
      </c>
      <c r="R32" s="9">
        <f t="shared" si="2"/>
        <v>-3.9351742546018613</v>
      </c>
      <c r="S32" s="9">
        <f t="shared" si="2"/>
        <v>-4.1896519299952075</v>
      </c>
      <c r="T32" s="9">
        <f t="shared" si="2"/>
        <v>-3.4914050389760831</v>
      </c>
      <c r="U32" s="9">
        <f t="shared" si="2"/>
        <v>-2.297281812493452</v>
      </c>
      <c r="V32" s="9">
        <f>H33-H$31</f>
        <v>-0.86140419283064773</v>
      </c>
      <c r="W32" s="9">
        <f t="shared" si="3"/>
        <v>-0.86140419283064773</v>
      </c>
      <c r="X32" s="9">
        <f t="shared" si="3"/>
        <v>-0.32388423398904642</v>
      </c>
      <c r="Y32" s="9">
        <f t="shared" si="3"/>
        <v>0</v>
      </c>
    </row>
    <row r="33" spans="1:30">
      <c r="A33" t="s">
        <v>121</v>
      </c>
      <c r="B33" s="4" t="s">
        <v>106</v>
      </c>
      <c r="C33" s="8">
        <f t="shared" ref="C33:K33" si="5">(C27-$J27)*t_R_K</f>
        <v>88.448237037036961</v>
      </c>
      <c r="D33" s="8">
        <f t="shared" si="5"/>
        <v>86.732079444444395</v>
      </c>
      <c r="E33" s="8">
        <f t="shared" si="5"/>
        <v>81.583606666666626</v>
      </c>
      <c r="F33" s="8">
        <f t="shared" si="5"/>
        <v>71.084290555555498</v>
      </c>
      <c r="G33" s="8">
        <f t="shared" si="5"/>
        <v>54.591946666666651</v>
      </c>
      <c r="H33" s="8">
        <f t="shared" si="5"/>
        <v>32.324358888888838</v>
      </c>
      <c r="I33" s="8">
        <f t="shared" si="5"/>
        <v>5.4901744444444178</v>
      </c>
      <c r="J33" s="8">
        <f t="shared" si="5"/>
        <v>0</v>
      </c>
      <c r="K33" s="8">
        <f t="shared" si="5"/>
        <v>-4.3135719079478152</v>
      </c>
      <c r="L33" s="4" t="s">
        <v>107</v>
      </c>
      <c r="M33" s="9">
        <f t="shared" si="1"/>
        <v>-4.1476777731202645</v>
      </c>
      <c r="N33" s="9">
        <f t="shared" si="1"/>
        <v>-4.3972397077729113</v>
      </c>
      <c r="O33" s="9">
        <f t="shared" si="1"/>
        <v>-3.6842455945316033</v>
      </c>
      <c r="P33" s="9">
        <f t="shared" si="1"/>
        <v>-2.4615201458267535</v>
      </c>
      <c r="Q33" s="9">
        <f t="shared" si="1"/>
        <v>-1.3727483616580258</v>
      </c>
      <c r="R33" s="9">
        <f t="shared" si="2"/>
        <v>-4.1476777731202645</v>
      </c>
      <c r="S33" s="9">
        <f t="shared" si="2"/>
        <v>-4.3972397077729113</v>
      </c>
      <c r="T33" s="9">
        <f t="shared" si="2"/>
        <v>-3.6842455945316033</v>
      </c>
      <c r="U33" s="9">
        <f t="shared" si="2"/>
        <v>-2.4615201458267535</v>
      </c>
      <c r="V33" s="9">
        <f>H34-H$31</f>
        <v>-0.93638252616390361</v>
      </c>
      <c r="W33" s="9">
        <f t="shared" si="3"/>
        <v>-0.93638252616390361</v>
      </c>
      <c r="X33" s="9">
        <f t="shared" si="3"/>
        <v>-0.33687590065569228</v>
      </c>
      <c r="Y33" s="9">
        <f t="shared" si="3"/>
        <v>0</v>
      </c>
    </row>
    <row r="34" spans="1:30">
      <c r="A34" t="s">
        <v>121</v>
      </c>
      <c r="B34" s="4" t="s">
        <v>107</v>
      </c>
      <c r="C34" s="8">
        <f t="shared" ref="C34:K34" si="6">(C28-$J28)*t_R_K</f>
        <v>88.235733518518558</v>
      </c>
      <c r="D34" s="8">
        <f t="shared" si="6"/>
        <v>86.524491666666691</v>
      </c>
      <c r="E34" s="8">
        <f t="shared" si="6"/>
        <v>81.390766111111105</v>
      </c>
      <c r="F34" s="8">
        <f t="shared" si="6"/>
        <v>70.920052222222196</v>
      </c>
      <c r="G34" s="8">
        <f t="shared" si="6"/>
        <v>54.468664999999987</v>
      </c>
      <c r="H34" s="8">
        <f t="shared" si="6"/>
        <v>32.249380555555582</v>
      </c>
      <c r="I34" s="8">
        <f t="shared" si="6"/>
        <v>5.477182777777772</v>
      </c>
      <c r="J34" s="8">
        <f t="shared" si="6"/>
        <v>0</v>
      </c>
      <c r="K34" s="8">
        <f t="shared" si="6"/>
        <v>-4.3010224635033492</v>
      </c>
    </row>
    <row r="35" spans="1:30">
      <c r="B35" s="4"/>
      <c r="C35" s="8"/>
      <c r="D35" s="8"/>
      <c r="E35" s="8"/>
      <c r="F35" s="8"/>
      <c r="G35" s="8"/>
      <c r="H35" s="8"/>
      <c r="I35" s="8"/>
      <c r="J35" s="8"/>
      <c r="K35" s="8"/>
    </row>
    <row r="36" spans="1:30">
      <c r="C36" s="7" t="s">
        <v>122</v>
      </c>
    </row>
    <row r="37" spans="1:30">
      <c r="B37" s="4" t="s">
        <v>119</v>
      </c>
      <c r="C37" s="10">
        <f t="shared" ref="C37:J37" si="7">(C25)*t_ft_m*100</f>
        <v>0</v>
      </c>
      <c r="D37" s="10">
        <f t="shared" si="7"/>
        <v>6.436264173483211E-2</v>
      </c>
      <c r="E37" s="10">
        <f t="shared" si="7"/>
        <v>0.14391924213054974</v>
      </c>
      <c r="F37" s="10">
        <f t="shared" si="7"/>
        <v>0.23206280499925594</v>
      </c>
      <c r="G37" s="10">
        <f t="shared" si="7"/>
        <v>0.32181320867416213</v>
      </c>
      <c r="H37" s="10">
        <f t="shared" si="7"/>
        <v>0.40960134383202246</v>
      </c>
      <c r="I37" s="10">
        <f t="shared" si="7"/>
        <v>0.41800137139107751</v>
      </c>
      <c r="J37" s="10">
        <f t="shared" si="7"/>
        <v>0.47500155839894903</v>
      </c>
      <c r="K37" s="10"/>
    </row>
    <row r="38" spans="1:30">
      <c r="A38" t="s">
        <v>121</v>
      </c>
      <c r="B38" s="4" t="s">
        <v>112</v>
      </c>
      <c r="C38" s="8">
        <f t="shared" ref="C38:J41" si="8">C31+$K38-$K31</f>
        <v>387.28169175344902</v>
      </c>
      <c r="D38" s="8">
        <f t="shared" si="8"/>
        <v>385.82001183624982</v>
      </c>
      <c r="E38" s="8">
        <f t="shared" si="8"/>
        <v>379.97329216745294</v>
      </c>
      <c r="F38" s="8">
        <f t="shared" si="8"/>
        <v>368.27985282985918</v>
      </c>
      <c r="G38" s="8">
        <f t="shared" si="8"/>
        <v>350.7396938234682</v>
      </c>
      <c r="H38" s="8">
        <f t="shared" si="8"/>
        <v>328.08404354352967</v>
      </c>
      <c r="I38" s="8">
        <f t="shared" si="8"/>
        <v>300.71233914024367</v>
      </c>
      <c r="J38" s="8">
        <f t="shared" si="8"/>
        <v>294.8982804618102</v>
      </c>
      <c r="K38" s="8">
        <f>5/9*(K25-32)</f>
        <v>290.93455198094114</v>
      </c>
      <c r="L38" s="8"/>
      <c r="M38" s="6" t="s">
        <v>123</v>
      </c>
      <c r="N38" s="10"/>
      <c r="O38" s="4"/>
      <c r="P38" s="4"/>
      <c r="Q38" s="4"/>
      <c r="R38" s="4"/>
      <c r="S38" s="4"/>
      <c r="T38" s="4"/>
      <c r="U38" s="4"/>
    </row>
    <row r="39" spans="1:30">
      <c r="A39" t="s">
        <v>121</v>
      </c>
      <c r="B39" s="4" t="s">
        <v>105</v>
      </c>
      <c r="C39" s="8">
        <f t="shared" si="8"/>
        <v>383.50364851851856</v>
      </c>
      <c r="D39" s="8">
        <f t="shared" si="8"/>
        <v>381.79170000000005</v>
      </c>
      <c r="E39" s="8">
        <f t="shared" si="8"/>
        <v>376.65585444444451</v>
      </c>
      <c r="F39" s="8">
        <f t="shared" si="8"/>
        <v>366.18103000000008</v>
      </c>
      <c r="G39" s="8">
        <f t="shared" si="8"/>
        <v>349.7237566666667</v>
      </c>
      <c r="H39" s="8">
        <f t="shared" si="8"/>
        <v>327.49753000000004</v>
      </c>
      <c r="I39" s="8">
        <f t="shared" si="8"/>
        <v>300.71642388888898</v>
      </c>
      <c r="J39" s="8">
        <f t="shared" si="8"/>
        <v>295.23737388888895</v>
      </c>
      <c r="K39" s="8">
        <f>5/9*(K26-32)</f>
        <v>290.93455198094114</v>
      </c>
      <c r="L39" s="4" t="s">
        <v>105</v>
      </c>
      <c r="M39" s="21">
        <f t="shared" ref="M39:Q41" si="9">(C39-C$38)/C$38</f>
        <v>-9.755284887919876E-3</v>
      </c>
      <c r="N39" s="21">
        <f t="shared" si="9"/>
        <v>-1.0440909524308114E-2</v>
      </c>
      <c r="O39" s="21">
        <f t="shared" si="9"/>
        <v>-8.7307128984908788E-3</v>
      </c>
      <c r="P39" s="21">
        <f t="shared" si="9"/>
        <v>-5.6989889990771044E-3</v>
      </c>
      <c r="Q39" s="21">
        <f t="shared" si="9"/>
        <v>-2.8965559778153689E-3</v>
      </c>
      <c r="R39" s="21">
        <f t="shared" ref="R39:U41" si="10">(C39-C$38)/C$38</f>
        <v>-9.755284887919876E-3</v>
      </c>
      <c r="S39" s="21">
        <f t="shared" si="10"/>
        <v>-1.0440909524308114E-2</v>
      </c>
      <c r="T39" s="21">
        <f t="shared" si="10"/>
        <v>-8.7307128984908788E-3</v>
      </c>
      <c r="U39" s="21">
        <f t="shared" si="10"/>
        <v>-5.6989889990771044E-3</v>
      </c>
      <c r="V39" s="21">
        <f>(H39-H$38)/H$38</f>
        <v>-1.7876929862083223E-3</v>
      </c>
      <c r="W39" s="21">
        <f t="shared" ref="W39:Y41" si="11">(H39-H$38)/H$38</f>
        <v>-1.7876929862083223E-3</v>
      </c>
      <c r="X39" s="21">
        <f t="shared" si="11"/>
        <v>1.3583575110320663E-5</v>
      </c>
      <c r="Y39" s="21">
        <f t="shared" si="11"/>
        <v>1.1498657318304176E-3</v>
      </c>
    </row>
    <row r="40" spans="1:30">
      <c r="A40" t="s">
        <v>121</v>
      </c>
      <c r="B40" s="4" t="s">
        <v>106</v>
      </c>
      <c r="C40" s="8">
        <f t="shared" si="8"/>
        <v>383.69636092592589</v>
      </c>
      <c r="D40" s="8">
        <f t="shared" si="8"/>
        <v>381.98020333333329</v>
      </c>
      <c r="E40" s="8">
        <f t="shared" si="8"/>
        <v>376.83173055555557</v>
      </c>
      <c r="F40" s="8">
        <f t="shared" si="8"/>
        <v>366.33241444444445</v>
      </c>
      <c r="G40" s="8">
        <f t="shared" si="8"/>
        <v>349.8400705555556</v>
      </c>
      <c r="H40" s="8">
        <f t="shared" si="8"/>
        <v>327.57248277777774</v>
      </c>
      <c r="I40" s="8">
        <f t="shared" si="8"/>
        <v>300.73829833333332</v>
      </c>
      <c r="J40" s="8">
        <f t="shared" si="8"/>
        <v>295.24812388888893</v>
      </c>
      <c r="K40" s="8">
        <f>5/9*(K27-32)</f>
        <v>290.93455198094114</v>
      </c>
      <c r="L40" s="4" t="s">
        <v>106</v>
      </c>
      <c r="M40" s="21">
        <f t="shared" si="9"/>
        <v>-9.2576822087567928E-3</v>
      </c>
      <c r="N40" s="21">
        <f t="shared" si="9"/>
        <v>-9.9523311003013037E-3</v>
      </c>
      <c r="O40" s="21">
        <f t="shared" si="9"/>
        <v>-8.2678484952908148E-3</v>
      </c>
      <c r="P40" s="21">
        <f t="shared" si="9"/>
        <v>-5.2879308233959258E-3</v>
      </c>
      <c r="Q40" s="21">
        <f t="shared" si="9"/>
        <v>-2.5649314399110879E-3</v>
      </c>
      <c r="R40" s="21">
        <f t="shared" si="10"/>
        <v>-9.2576822087567928E-3</v>
      </c>
      <c r="S40" s="21">
        <f t="shared" si="10"/>
        <v>-9.9523311003013037E-3</v>
      </c>
      <c r="T40" s="21">
        <f t="shared" si="10"/>
        <v>-8.2678484952908148E-3</v>
      </c>
      <c r="U40" s="21">
        <f t="shared" si="10"/>
        <v>-5.2879308233959258E-3</v>
      </c>
      <c r="V40" s="21">
        <f>(H40-H$38)/H$38</f>
        <v>-1.5592369571733366E-3</v>
      </c>
      <c r="W40" s="21">
        <f t="shared" si="11"/>
        <v>-1.5592369571733366E-3</v>
      </c>
      <c r="X40" s="21">
        <f t="shared" si="11"/>
        <v>8.6325666462063743E-5</v>
      </c>
      <c r="Y40" s="21">
        <f t="shared" si="11"/>
        <v>1.1863189793133756E-3</v>
      </c>
    </row>
    <row r="41" spans="1:30">
      <c r="A41" t="s">
        <v>121</v>
      </c>
      <c r="B41" s="4" t="s">
        <v>107</v>
      </c>
      <c r="C41" s="8">
        <f t="shared" si="8"/>
        <v>383.47130796296301</v>
      </c>
      <c r="D41" s="8">
        <f t="shared" si="8"/>
        <v>381.76006611111114</v>
      </c>
      <c r="E41" s="8">
        <f t="shared" si="8"/>
        <v>376.6263405555556</v>
      </c>
      <c r="F41" s="8">
        <f t="shared" si="8"/>
        <v>366.15562666666665</v>
      </c>
      <c r="G41" s="8">
        <f t="shared" si="8"/>
        <v>349.70423944444445</v>
      </c>
      <c r="H41" s="8">
        <f t="shared" si="8"/>
        <v>327.48495500000007</v>
      </c>
      <c r="I41" s="8">
        <f t="shared" si="8"/>
        <v>300.71275722222225</v>
      </c>
      <c r="J41" s="8">
        <f t="shared" si="8"/>
        <v>295.23557444444447</v>
      </c>
      <c r="K41" s="8">
        <f>5/9*(K28-32)</f>
        <v>290.93455198094114</v>
      </c>
      <c r="L41" s="4" t="s">
        <v>107</v>
      </c>
      <c r="M41" s="21">
        <f t="shared" si="9"/>
        <v>-9.8387914317203968E-3</v>
      </c>
      <c r="N41" s="21">
        <f t="shared" si="9"/>
        <v>-1.052290083610749E-2</v>
      </c>
      <c r="O41" s="21">
        <f t="shared" si="9"/>
        <v>-8.8083864863384882E-3</v>
      </c>
      <c r="P41" s="21">
        <f t="shared" si="9"/>
        <v>-5.7679673402441008E-3</v>
      </c>
      <c r="Q41" s="21">
        <f t="shared" si="9"/>
        <v>-2.9522018672483207E-3</v>
      </c>
      <c r="R41" s="21">
        <f t="shared" si="10"/>
        <v>-9.8387914317203968E-3</v>
      </c>
      <c r="S41" s="21">
        <f t="shared" si="10"/>
        <v>-1.052290083610749E-2</v>
      </c>
      <c r="T41" s="21">
        <f t="shared" si="10"/>
        <v>-8.8083864863384882E-3</v>
      </c>
      <c r="U41" s="21">
        <f t="shared" si="10"/>
        <v>-5.7679673402441008E-3</v>
      </c>
      <c r="V41" s="21">
        <f>(H41-H$38)/H$38</f>
        <v>-1.8260215798947183E-3</v>
      </c>
      <c r="W41" s="21">
        <f t="shared" si="11"/>
        <v>-1.8260215798947183E-3</v>
      </c>
      <c r="X41" s="21">
        <f t="shared" si="11"/>
        <v>1.3903053655047869E-6</v>
      </c>
      <c r="Y41" s="21">
        <f t="shared" si="11"/>
        <v>1.1437638161404763E-3</v>
      </c>
    </row>
    <row r="42" spans="1:30">
      <c r="Q42" s="4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5" spans="1:30">
      <c r="C45" s="4"/>
      <c r="D45" s="4" t="s">
        <v>124</v>
      </c>
    </row>
    <row r="46" spans="1:30">
      <c r="B46" s="8"/>
      <c r="C46" s="8"/>
      <c r="D46" s="19">
        <v>719.22505999999998</v>
      </c>
      <c r="E46" s="8">
        <v>709.98053800000002</v>
      </c>
      <c r="F46" s="8">
        <v>691.125854</v>
      </c>
      <c r="G46" s="8">
        <v>661.50276199999996</v>
      </c>
      <c r="H46" s="8">
        <v>621.49555399999997</v>
      </c>
      <c r="I46" s="8">
        <v>573.28956300000004</v>
      </c>
      <c r="J46" s="8">
        <v>563.42727300000001</v>
      </c>
      <c r="K46" s="8"/>
      <c r="L46" s="8"/>
      <c r="M46" s="8"/>
      <c r="N46" s="8"/>
      <c r="O46" s="8"/>
      <c r="P46" s="8"/>
    </row>
    <row r="47" spans="1:30">
      <c r="A47" s="8"/>
      <c r="D47" s="20">
        <v>719.56436599999995</v>
      </c>
      <c r="E47">
        <v>710.29711499999996</v>
      </c>
      <c r="F47">
        <v>691.39834599999995</v>
      </c>
      <c r="G47">
        <v>661.71212700000001</v>
      </c>
      <c r="H47">
        <v>621.63046899999995</v>
      </c>
      <c r="I47">
        <v>573.328937</v>
      </c>
      <c r="J47">
        <v>563.44662300000005</v>
      </c>
    </row>
    <row r="48" spans="1:30">
      <c r="D48" s="20">
        <v>719.16811900000005</v>
      </c>
      <c r="E48">
        <v>709.927413</v>
      </c>
      <c r="F48" s="12">
        <v>691.08012799999995</v>
      </c>
      <c r="G48" s="12">
        <v>661.46763099999998</v>
      </c>
      <c r="H48" s="12">
        <v>621.47291900000005</v>
      </c>
      <c r="I48" s="12">
        <v>573.282963</v>
      </c>
      <c r="J48" s="12">
        <v>563.42403400000001</v>
      </c>
    </row>
  </sheetData>
  <mergeCells count="1">
    <mergeCell ref="B1:E2"/>
  </mergeCells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opLeftCell="A15" zoomScale="90" zoomScaleNormal="90" zoomScalePageLayoutView="90" workbookViewId="0">
      <selection activeCell="D26" sqref="D26:O28"/>
    </sheetView>
  </sheetViews>
  <sheetFormatPr baseColWidth="10" defaultColWidth="8.83203125" defaultRowHeight="12" x14ac:dyDescent="0"/>
  <sheetData>
    <row r="1" spans="2:5">
      <c r="B1" s="3" t="s">
        <v>97</v>
      </c>
      <c r="C1" s="3"/>
      <c r="D1" s="3"/>
      <c r="E1" s="3"/>
    </row>
    <row r="2" spans="2:5">
      <c r="B2" s="3"/>
      <c r="C2" s="3"/>
      <c r="D2" s="3"/>
      <c r="E2" s="3"/>
    </row>
    <row r="4" spans="2:5">
      <c r="B4" t="s">
        <v>98</v>
      </c>
    </row>
    <row r="6" spans="2:5">
      <c r="B6" s="7" t="s">
        <v>99</v>
      </c>
    </row>
    <row r="7" spans="2:5">
      <c r="C7" t="s">
        <v>100</v>
      </c>
      <c r="D7" t="s">
        <v>101</v>
      </c>
      <c r="E7" t="s">
        <v>101</v>
      </c>
    </row>
    <row r="8" spans="2:5">
      <c r="C8" t="s">
        <v>102</v>
      </c>
      <c r="D8" t="s">
        <v>103</v>
      </c>
      <c r="E8" t="s">
        <v>82</v>
      </c>
    </row>
    <row r="9" spans="2:5">
      <c r="B9" s="4" t="s">
        <v>104</v>
      </c>
      <c r="C9" s="10">
        <v>0.66138600000000003</v>
      </c>
      <c r="D9" s="4">
        <v>554.23225806451603</v>
      </c>
      <c r="E9" s="4">
        <f>2.326*D9</f>
        <v>1289.1442322580642</v>
      </c>
    </row>
    <row r="10" spans="2:5">
      <c r="B10" s="4" t="s">
        <v>105</v>
      </c>
      <c r="C10" s="10">
        <v>0.66139538674123899</v>
      </c>
      <c r="D10" s="4">
        <v>575.48691807717603</v>
      </c>
      <c r="E10" s="4">
        <f>2.326*D10</f>
        <v>1338.5825714475116</v>
      </c>
    </row>
    <row r="11" spans="2:5">
      <c r="B11" s="4" t="s">
        <v>106</v>
      </c>
      <c r="C11" s="4">
        <f>C10</f>
        <v>0.66139538674123899</v>
      </c>
      <c r="D11" s="4">
        <v>575.54545097384698</v>
      </c>
      <c r="E11" s="4">
        <f>2.326*D11</f>
        <v>1338.7187189651681</v>
      </c>
    </row>
    <row r="12" spans="2:5">
      <c r="B12" s="4" t="s">
        <v>107</v>
      </c>
      <c r="C12" s="4">
        <f>C11</f>
        <v>0.66139538674123899</v>
      </c>
      <c r="D12" s="4">
        <v>575.51049558913098</v>
      </c>
      <c r="E12" s="4">
        <f>2.326*D12</f>
        <v>1338.6374127403187</v>
      </c>
    </row>
    <row r="16" spans="2:5">
      <c r="B16" s="7" t="s">
        <v>108</v>
      </c>
    </row>
    <row r="17" spans="1:30">
      <c r="B17" s="4"/>
      <c r="C17" s="4" t="s">
        <v>109</v>
      </c>
      <c r="D17" s="4" t="s">
        <v>110</v>
      </c>
      <c r="E17" s="4" t="s">
        <v>111</v>
      </c>
    </row>
    <row r="18" spans="1:30">
      <c r="B18" s="4"/>
      <c r="C18" s="4" t="s">
        <v>82</v>
      </c>
      <c r="D18" s="4" t="s">
        <v>62</v>
      </c>
      <c r="E18" s="4" t="s">
        <v>60</v>
      </c>
    </row>
    <row r="19" spans="1:30">
      <c r="B19" s="4" t="s">
        <v>112</v>
      </c>
      <c r="C19" s="4">
        <f>q_lin*L_chan/(M_dot)</f>
        <v>48.773333333333333</v>
      </c>
      <c r="D19" s="16">
        <f>M_dot*C19</f>
        <v>14.632</v>
      </c>
      <c r="E19" s="8">
        <f>q_lin</f>
        <v>4</v>
      </c>
      <c r="F19" t="s">
        <v>113</v>
      </c>
    </row>
    <row r="20" spans="1:30">
      <c r="B20" s="4" t="s">
        <v>105</v>
      </c>
      <c r="C20" s="8">
        <f>E10-$E$9</f>
        <v>49.438339189447333</v>
      </c>
      <c r="D20" s="16">
        <f>M_dot*C20</f>
        <v>14.8315017568342</v>
      </c>
      <c r="E20" s="8">
        <f>D20/L_chan</f>
        <v>4.0545384791782944</v>
      </c>
      <c r="F20" s="17">
        <f>(E20-$E$19)/$E$19</f>
        <v>1.3634619794573588E-2</v>
      </c>
    </row>
    <row r="21" spans="1:30">
      <c r="B21" s="4" t="s">
        <v>106</v>
      </c>
      <c r="C21" s="8">
        <f>E11-$E$9</f>
        <v>49.574486707103915</v>
      </c>
      <c r="D21" s="16">
        <f>M_dot*C21</f>
        <v>14.872346012131175</v>
      </c>
      <c r="E21" s="8">
        <f>D21/L_chan</f>
        <v>4.0657042132671339</v>
      </c>
      <c r="F21" s="17">
        <f>(E21-$E$19)/$E$19</f>
        <v>1.6426053316783484E-2</v>
      </c>
    </row>
    <row r="22" spans="1:30">
      <c r="B22" s="4" t="s">
        <v>107</v>
      </c>
      <c r="C22" s="8">
        <f>E12-$E$9</f>
        <v>49.493180482254502</v>
      </c>
      <c r="D22" s="16">
        <f>M_dot*C22</f>
        <v>14.847954144676351</v>
      </c>
      <c r="E22" s="8">
        <f>D22/L_chan</f>
        <v>4.0590361248431792</v>
      </c>
      <c r="F22" s="17">
        <f>(E22-$E$19)/$E$19</f>
        <v>1.4759031210794804E-2</v>
      </c>
    </row>
    <row r="23" spans="1:30">
      <c r="C23" s="7" t="s">
        <v>99</v>
      </c>
      <c r="P23" s="4" t="s">
        <v>115</v>
      </c>
    </row>
    <row r="24" spans="1:30">
      <c r="B24" t="s">
        <v>114</v>
      </c>
      <c r="D24" s="12">
        <f>D25</f>
        <v>1.0002449840240701E-3</v>
      </c>
      <c r="E24" s="12">
        <f>E25</f>
        <v>2.2366157784310101E-3</v>
      </c>
      <c r="F24">
        <f t="shared" ref="F24:O24" si="0">F25-E25</f>
        <v>1.3698187994934299E-3</v>
      </c>
      <c r="G24">
        <f t="shared" si="0"/>
        <v>1.39479034219591E-3</v>
      </c>
      <c r="H24">
        <f t="shared" si="0"/>
        <v>1.4034679804548096E-3</v>
      </c>
      <c r="I24">
        <f t="shared" si="0"/>
        <v>1.4074701617260901E-3</v>
      </c>
      <c r="J24">
        <f t="shared" si="0"/>
        <v>1.4096400360928806E-3</v>
      </c>
      <c r="K24">
        <f t="shared" si="0"/>
        <v>1.4109469302381692E-3</v>
      </c>
      <c r="L24">
        <f t="shared" si="0"/>
        <v>1.4117945484561009E-3</v>
      </c>
      <c r="M24">
        <f t="shared" si="0"/>
        <v>1.3937756328854002E-3</v>
      </c>
      <c r="N24">
        <f t="shared" si="0"/>
        <v>2.7559055118109993E-4</v>
      </c>
      <c r="O24">
        <f t="shared" si="0"/>
        <v>1.8700787401573996E-3</v>
      </c>
      <c r="P24" s="18">
        <f>(t_in+q_lin*dz*2/(M_dot*cp_in))*9/5+32</f>
        <v>555.68219356569398</v>
      </c>
    </row>
    <row r="25" spans="1:30">
      <c r="B25" t="s">
        <v>116</v>
      </c>
      <c r="C25" s="12">
        <v>0</v>
      </c>
      <c r="D25" s="12">
        <v>1.0002449840240701E-3</v>
      </c>
      <c r="E25" s="12">
        <v>2.2366157784310101E-3</v>
      </c>
      <c r="F25" s="12">
        <v>3.60643457792444E-3</v>
      </c>
      <c r="G25" s="12">
        <v>5.00122492012035E-3</v>
      </c>
      <c r="H25" s="12">
        <v>6.4046929005751596E-3</v>
      </c>
      <c r="I25" s="12">
        <v>7.8121630623012497E-3</v>
      </c>
      <c r="J25" s="12">
        <v>9.2218030983941303E-3</v>
      </c>
      <c r="K25" s="12">
        <v>1.0632750028632299E-2</v>
      </c>
      <c r="L25" s="12">
        <v>1.20445445770884E-2</v>
      </c>
      <c r="M25" s="12">
        <v>1.3438320209973801E-2</v>
      </c>
      <c r="N25" s="12">
        <v>1.3713910761154901E-2</v>
      </c>
      <c r="O25" s="12">
        <v>1.55839895013123E-2</v>
      </c>
      <c r="P25" s="12">
        <f>P24</f>
        <v>555.68219356569398</v>
      </c>
    </row>
    <row r="26" spans="1:30">
      <c r="A26" t="s">
        <v>117</v>
      </c>
      <c r="B26" s="4" t="s">
        <v>105</v>
      </c>
      <c r="C26" s="8">
        <f>1/3*(4*D26-E26)</f>
        <v>726.43513966666671</v>
      </c>
      <c r="D26" s="8">
        <v>725.74359000000004</v>
      </c>
      <c r="E26" s="8">
        <v>723.66894100000002</v>
      </c>
      <c r="F26" s="8">
        <v>719.43798500000003</v>
      </c>
      <c r="G26" s="8">
        <v>712.79169000000002</v>
      </c>
      <c r="H26" s="8">
        <v>703.73159699999997</v>
      </c>
      <c r="I26" s="8">
        <v>692.26984300000004</v>
      </c>
      <c r="J26" s="8">
        <v>678.41571899999997</v>
      </c>
      <c r="K26" s="8">
        <v>662.17563299999995</v>
      </c>
      <c r="L26" s="8">
        <v>643.55396199999996</v>
      </c>
      <c r="M26" s="8">
        <v>622.59766200000001</v>
      </c>
      <c r="N26" s="8">
        <v>573.60459200000003</v>
      </c>
      <c r="O26" s="8">
        <v>563.58119599999998</v>
      </c>
      <c r="P26" s="12">
        <f>P25</f>
        <v>555.68219356569398</v>
      </c>
    </row>
    <row r="27" spans="1:30">
      <c r="A27" t="s">
        <v>117</v>
      </c>
      <c r="B27" s="4" t="s">
        <v>106</v>
      </c>
      <c r="C27" s="8">
        <f>1/3*(4*D27-E27)</f>
        <v>726.74178866666671</v>
      </c>
      <c r="D27" s="4">
        <v>726.04867000000002</v>
      </c>
      <c r="E27" s="4">
        <v>723.96931400000005</v>
      </c>
      <c r="F27" s="4">
        <v>719.72887000000003</v>
      </c>
      <c r="G27" s="4">
        <v>713.06797300000005</v>
      </c>
      <c r="H27" s="4">
        <v>703.98855400000002</v>
      </c>
      <c r="I27" s="4">
        <v>692.503289</v>
      </c>
      <c r="J27" s="4">
        <v>678.62210300000004</v>
      </c>
      <c r="K27" s="4">
        <v>662.352124</v>
      </c>
      <c r="L27" s="4">
        <v>643.69850699999995</v>
      </c>
      <c r="M27" s="4">
        <v>622.70907299999999</v>
      </c>
      <c r="N27" s="4">
        <v>573.63712599999997</v>
      </c>
      <c r="O27" s="4">
        <v>563.59718899999996</v>
      </c>
      <c r="P27" s="12">
        <f>P26</f>
        <v>555.68219356569398</v>
      </c>
    </row>
    <row r="28" spans="1:30">
      <c r="A28" t="s">
        <v>117</v>
      </c>
      <c r="B28" s="4" t="s">
        <v>107</v>
      </c>
      <c r="C28" s="8">
        <f>1/3*(4*D28-E28)</f>
        <v>726.38074866666659</v>
      </c>
      <c r="D28" s="4">
        <v>725.68947700000001</v>
      </c>
      <c r="E28" s="4">
        <v>723.61566200000004</v>
      </c>
      <c r="F28" s="4">
        <v>719.38639000000001</v>
      </c>
      <c r="G28" s="4">
        <v>712.74268600000005</v>
      </c>
      <c r="H28" s="4">
        <v>703.68602099999998</v>
      </c>
      <c r="I28" s="4">
        <v>692.22843799999998</v>
      </c>
      <c r="J28" s="4">
        <v>678.37911499999996</v>
      </c>
      <c r="K28" s="4">
        <v>662.14433199999996</v>
      </c>
      <c r="L28" s="4">
        <v>643.52832799999999</v>
      </c>
      <c r="M28" s="4">
        <v>622.57790599999998</v>
      </c>
      <c r="N28" s="4">
        <v>573.59882800000003</v>
      </c>
      <c r="O28" s="4">
        <v>563.57836599999996</v>
      </c>
      <c r="P28" s="12"/>
      <c r="R28" s="12"/>
    </row>
    <row r="29" spans="1:30">
      <c r="C29" s="7" t="s">
        <v>118</v>
      </c>
      <c r="P29" t="e">
        <f>D24/D5*N29</f>
        <v>#DIV/0!</v>
      </c>
    </row>
    <row r="30" spans="1:30">
      <c r="B30" s="4" t="s">
        <v>119</v>
      </c>
      <c r="C30" s="8">
        <f t="shared" ref="C30:O30" si="1">(C25)*t_ft_m*100</f>
        <v>0</v>
      </c>
      <c r="D30" s="8">
        <f t="shared" si="1"/>
        <v>3.0487567137552057E-2</v>
      </c>
      <c r="E30" s="8">
        <f t="shared" si="1"/>
        <v>6.8172272588155031E-2</v>
      </c>
      <c r="F30" s="8">
        <f t="shared" si="1"/>
        <v>0.10992448657859472</v>
      </c>
      <c r="G30" s="8">
        <f t="shared" si="1"/>
        <v>0.15243783568776029</v>
      </c>
      <c r="H30" s="8">
        <f t="shared" si="1"/>
        <v>0.19521568007882092</v>
      </c>
      <c r="I30" s="8">
        <f t="shared" si="1"/>
        <v>0.23811551135524833</v>
      </c>
      <c r="J30" s="8">
        <f t="shared" si="1"/>
        <v>0.28108148061936294</v>
      </c>
      <c r="K30" s="8">
        <f t="shared" si="1"/>
        <v>0.32408728414771532</v>
      </c>
      <c r="L30" s="8">
        <f t="shared" si="1"/>
        <v>0.3671189231641121</v>
      </c>
      <c r="M30" s="8">
        <f t="shared" si="1"/>
        <v>0.40960134383202246</v>
      </c>
      <c r="N30" s="8">
        <f t="shared" si="1"/>
        <v>0.41800137139107751</v>
      </c>
      <c r="O30" s="8">
        <f t="shared" si="1"/>
        <v>0.47500155839894903</v>
      </c>
      <c r="Q30" s="8"/>
      <c r="R30" s="6" t="s">
        <v>120</v>
      </c>
      <c r="S30" s="10"/>
      <c r="T30" s="4"/>
      <c r="U30" s="4"/>
      <c r="V30" s="4"/>
      <c r="W30" s="4"/>
      <c r="X30" s="4"/>
      <c r="Y30" s="4"/>
      <c r="Z30" s="4"/>
    </row>
    <row r="31" spans="1:30">
      <c r="A31" t="s">
        <v>121</v>
      </c>
      <c r="B31" s="4" t="s">
        <v>112</v>
      </c>
      <c r="C31" s="8">
        <f t="shared" ref="C31:L31" si="2">q_dot*1000/(4*k_fuel)*((R_fuel/100)^2)*(1-(C30/R_fuel)^2)+delta_gap+delta_clad</f>
        <v>92.383411291638822</v>
      </c>
      <c r="D31" s="8">
        <f t="shared" si="2"/>
        <v>92.05544432960798</v>
      </c>
      <c r="E31" s="8">
        <f t="shared" si="2"/>
        <v>90.743576481484581</v>
      </c>
      <c r="F31" s="8">
        <f t="shared" si="2"/>
        <v>88.119840785237784</v>
      </c>
      <c r="G31" s="8">
        <f t="shared" si="2"/>
        <v>84.184237240867589</v>
      </c>
      <c r="H31" s="8">
        <f t="shared" si="2"/>
        <v>78.936765848373966</v>
      </c>
      <c r="I31" s="8">
        <f t="shared" si="2"/>
        <v>72.377426607757002</v>
      </c>
      <c r="J31" s="8">
        <f t="shared" si="2"/>
        <v>64.506219519016597</v>
      </c>
      <c r="K31" s="8">
        <f t="shared" si="2"/>
        <v>55.323144582152857</v>
      </c>
      <c r="L31" s="8">
        <f t="shared" si="2"/>
        <v>44.828201797165868</v>
      </c>
      <c r="M31" s="8">
        <f>delta_gap+delta_clad</f>
        <v>33.185763081719486</v>
      </c>
      <c r="N31" s="8">
        <f>delta_clad</f>
        <v>5.8140586784334642</v>
      </c>
      <c r="O31" s="8">
        <v>0</v>
      </c>
      <c r="P31" s="8">
        <f>-delta_fluid</f>
        <v>-3.9637284808690443</v>
      </c>
      <c r="Q31" s="4" t="s">
        <v>105</v>
      </c>
      <c r="R31" s="9">
        <f t="shared" ref="R31:AD33" si="3">C32-C$31</f>
        <v>-1.9089981434906349</v>
      </c>
      <c r="S31" s="9">
        <f t="shared" si="3"/>
        <v>-1.9652254407190526</v>
      </c>
      <c r="T31" s="9">
        <f t="shared" si="3"/>
        <v>-1.8059403703734489</v>
      </c>
      <c r="U31" s="9">
        <f t="shared" si="3"/>
        <v>-1.5327357852377475</v>
      </c>
      <c r="V31" s="9">
        <f t="shared" si="3"/>
        <v>-1.2895183519786713</v>
      </c>
      <c r="W31" s="9">
        <f t="shared" si="3"/>
        <v>-1.075431959485087</v>
      </c>
      <c r="X31" s="9">
        <f t="shared" si="3"/>
        <v>-0.88373382997919236</v>
      </c>
      <c r="Y31" s="9">
        <f t="shared" si="3"/>
        <v>-0.70926229679437824</v>
      </c>
      <c r="Z31" s="9">
        <f t="shared" si="3"/>
        <v>-0.54845735993065148</v>
      </c>
      <c r="AA31" s="9">
        <f t="shared" si="3"/>
        <v>-0.39888735272143094</v>
      </c>
      <c r="AB31" s="9">
        <f t="shared" si="3"/>
        <v>-0.39883752616390922</v>
      </c>
      <c r="AC31" s="9">
        <f t="shared" si="3"/>
        <v>-0.24550534510010369</v>
      </c>
      <c r="AD31" s="9">
        <f t="shared" si="3"/>
        <v>0</v>
      </c>
    </row>
    <row r="32" spans="1:30">
      <c r="A32" t="s">
        <v>121</v>
      </c>
      <c r="B32" s="4" t="s">
        <v>105</v>
      </c>
      <c r="C32" s="8">
        <f t="shared" ref="C32:O32" si="4">(C26-$O26)*t_R_K</f>
        <v>90.474413148148187</v>
      </c>
      <c r="D32" s="8">
        <f t="shared" si="4"/>
        <v>90.090218888888927</v>
      </c>
      <c r="E32" s="8">
        <f t="shared" si="4"/>
        <v>88.937636111111132</v>
      </c>
      <c r="F32" s="8">
        <f t="shared" si="4"/>
        <v>86.587105000000037</v>
      </c>
      <c r="G32" s="8">
        <f t="shared" si="4"/>
        <v>82.894718888888917</v>
      </c>
      <c r="H32" s="8">
        <f t="shared" si="4"/>
        <v>77.861333888888879</v>
      </c>
      <c r="I32" s="8">
        <f t="shared" si="4"/>
        <v>71.49369277777781</v>
      </c>
      <c r="J32" s="8">
        <f t="shared" si="4"/>
        <v>63.796957222222218</v>
      </c>
      <c r="K32" s="8">
        <f t="shared" si="4"/>
        <v>54.774687222222205</v>
      </c>
      <c r="L32" s="8">
        <f t="shared" si="4"/>
        <v>44.429314444444437</v>
      </c>
      <c r="M32" s="8">
        <f t="shared" si="4"/>
        <v>32.786925555555577</v>
      </c>
      <c r="N32" s="8">
        <f t="shared" si="4"/>
        <v>5.5685533333333606</v>
      </c>
      <c r="O32" s="8">
        <f t="shared" si="4"/>
        <v>0</v>
      </c>
      <c r="P32" s="8">
        <f>(P25-$O26)*t_R_K</f>
        <v>-4.388334685725555</v>
      </c>
      <c r="Q32" s="4" t="s">
        <v>106</v>
      </c>
      <c r="R32" s="9">
        <f t="shared" si="3"/>
        <v>-1.747522587935066</v>
      </c>
      <c r="S32" s="9">
        <f t="shared" si="3"/>
        <v>-1.8046215518301665</v>
      </c>
      <c r="T32" s="9">
        <f t="shared" si="3"/>
        <v>-1.647951481484526</v>
      </c>
      <c r="U32" s="9">
        <f t="shared" si="3"/>
        <v>-1.3800180074599666</v>
      </c>
      <c r="V32" s="9">
        <f t="shared" si="3"/>
        <v>-1.1449127964230854</v>
      </c>
      <c r="W32" s="9">
        <f t="shared" si="3"/>
        <v>-0.94156307059614619</v>
      </c>
      <c r="X32" s="9">
        <f t="shared" si="3"/>
        <v>-0.76292660775698096</v>
      </c>
      <c r="Y32" s="9">
        <f t="shared" si="3"/>
        <v>-0.60348951901654857</v>
      </c>
      <c r="Z32" s="9">
        <f t="shared" si="3"/>
        <v>-0.45929180437504868</v>
      </c>
      <c r="AA32" s="9">
        <f t="shared" si="3"/>
        <v>-0.32746957494364892</v>
      </c>
      <c r="AB32" s="9">
        <f t="shared" si="3"/>
        <v>-0.34582752616390877</v>
      </c>
      <c r="AC32" s="9">
        <f t="shared" si="3"/>
        <v>-0.23631590065568098</v>
      </c>
      <c r="AD32" s="9">
        <f t="shared" si="3"/>
        <v>0</v>
      </c>
    </row>
    <row r="33" spans="1:30">
      <c r="A33" t="s">
        <v>121</v>
      </c>
      <c r="B33" s="4" t="s">
        <v>106</v>
      </c>
      <c r="C33" s="8">
        <f t="shared" ref="C33:O33" si="5">(C27-$O27)*t_R_K</f>
        <v>90.635888703703756</v>
      </c>
      <c r="D33" s="8">
        <f t="shared" si="5"/>
        <v>90.250822777777813</v>
      </c>
      <c r="E33" s="8">
        <f t="shared" si="5"/>
        <v>89.095625000000055</v>
      </c>
      <c r="F33" s="8">
        <f t="shared" si="5"/>
        <v>86.739822777777817</v>
      </c>
      <c r="G33" s="8">
        <f t="shared" si="5"/>
        <v>83.039324444444503</v>
      </c>
      <c r="H33" s="8">
        <f t="shared" si="5"/>
        <v>77.99520277777782</v>
      </c>
      <c r="I33" s="8">
        <f t="shared" si="5"/>
        <v>71.614500000000021</v>
      </c>
      <c r="J33" s="8">
        <f t="shared" si="5"/>
        <v>63.902730000000048</v>
      </c>
      <c r="K33" s="8">
        <f t="shared" si="5"/>
        <v>54.863852777777808</v>
      </c>
      <c r="L33" s="8">
        <f t="shared" si="5"/>
        <v>44.500732222222219</v>
      </c>
      <c r="M33" s="8">
        <f t="shared" si="5"/>
        <v>32.839935555555577</v>
      </c>
      <c r="N33" s="8">
        <f t="shared" si="5"/>
        <v>5.5777427777777833</v>
      </c>
      <c r="O33" s="8">
        <f t="shared" si="5"/>
        <v>0</v>
      </c>
      <c r="P33" s="8">
        <f>(P26-$O27)*t_R_K</f>
        <v>-4.3972196857255437</v>
      </c>
      <c r="Q33" s="4" t="s">
        <v>107</v>
      </c>
      <c r="R33" s="9">
        <f t="shared" si="3"/>
        <v>-1.9376431434906891</v>
      </c>
      <c r="S33" s="9">
        <f t="shared" si="3"/>
        <v>-1.9937159962746165</v>
      </c>
      <c r="T33" s="9">
        <f t="shared" si="3"/>
        <v>-1.8339675925956413</v>
      </c>
      <c r="U33" s="9">
        <f t="shared" si="3"/>
        <v>-1.5598274519044253</v>
      </c>
      <c r="V33" s="9">
        <f t="shared" si="3"/>
        <v>-1.315170574200863</v>
      </c>
      <c r="W33" s="9">
        <f t="shared" si="3"/>
        <v>-1.099179737262844</v>
      </c>
      <c r="X33" s="9">
        <f t="shared" si="3"/>
        <v>-0.90516438553476064</v>
      </c>
      <c r="Y33" s="9">
        <f t="shared" si="3"/>
        <v>-0.72802563012770349</v>
      </c>
      <c r="Z33" s="9">
        <f t="shared" si="3"/>
        <v>-0.56427458215285498</v>
      </c>
      <c r="AA33" s="9">
        <f t="shared" si="3"/>
        <v>-0.41155624161029181</v>
      </c>
      <c r="AB33" s="9">
        <f t="shared" si="3"/>
        <v>-0.40824085949724775</v>
      </c>
      <c r="AC33" s="9">
        <f t="shared" si="3"/>
        <v>-0.24713534510009438</v>
      </c>
      <c r="AD33" s="9">
        <f t="shared" si="3"/>
        <v>0</v>
      </c>
    </row>
    <row r="34" spans="1:30">
      <c r="A34" t="s">
        <v>121</v>
      </c>
      <c r="B34" s="4" t="s">
        <v>107</v>
      </c>
      <c r="C34" s="8">
        <f t="shared" ref="C34:O34" si="6">(C28-$O28)*t_R_K</f>
        <v>90.445768148148133</v>
      </c>
      <c r="D34" s="8">
        <f t="shared" si="6"/>
        <v>90.061728333333363</v>
      </c>
      <c r="E34" s="8">
        <f t="shared" si="6"/>
        <v>88.90960888888894</v>
      </c>
      <c r="F34" s="8">
        <f t="shared" si="6"/>
        <v>86.560013333333359</v>
      </c>
      <c r="G34" s="8">
        <f t="shared" si="6"/>
        <v>82.869066666666725</v>
      </c>
      <c r="H34" s="8">
        <f t="shared" si="6"/>
        <v>77.837586111111122</v>
      </c>
      <c r="I34" s="8">
        <f t="shared" si="6"/>
        <v>71.472262222222241</v>
      </c>
      <c r="J34" s="8">
        <f t="shared" si="6"/>
        <v>63.778193888888893</v>
      </c>
      <c r="K34" s="8">
        <f t="shared" si="6"/>
        <v>54.758870000000002</v>
      </c>
      <c r="L34" s="8">
        <f t="shared" si="6"/>
        <v>44.416645555555576</v>
      </c>
      <c r="M34" s="8">
        <f t="shared" si="6"/>
        <v>32.777522222222238</v>
      </c>
      <c r="N34" s="8">
        <f t="shared" si="6"/>
        <v>5.5669233333333699</v>
      </c>
      <c r="O34" s="8">
        <f t="shared" si="6"/>
        <v>0</v>
      </c>
      <c r="P34" s="8">
        <f>(P27-$O28)*t_R_K</f>
        <v>-4.3867624635033229</v>
      </c>
    </row>
    <row r="35" spans="1:30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30">
      <c r="C36" s="7" t="s">
        <v>122</v>
      </c>
    </row>
    <row r="37" spans="1:30">
      <c r="B37" s="4" t="s">
        <v>119</v>
      </c>
      <c r="C37" s="10">
        <f t="shared" ref="C37:O37" si="7">(C25)*t_ft_m*100</f>
        <v>0</v>
      </c>
      <c r="D37" s="10">
        <f t="shared" si="7"/>
        <v>3.0487567137552057E-2</v>
      </c>
      <c r="E37" s="10">
        <f t="shared" si="7"/>
        <v>6.8172272588155031E-2</v>
      </c>
      <c r="F37" s="10">
        <f t="shared" si="7"/>
        <v>0.10992448657859472</v>
      </c>
      <c r="G37" s="10">
        <f t="shared" si="7"/>
        <v>0.15243783568776029</v>
      </c>
      <c r="H37" s="10">
        <f t="shared" si="7"/>
        <v>0.19521568007882092</v>
      </c>
      <c r="I37" s="10">
        <f t="shared" si="7"/>
        <v>0.23811551135524833</v>
      </c>
      <c r="J37" s="10">
        <f t="shared" si="7"/>
        <v>0.28108148061936294</v>
      </c>
      <c r="K37" s="10">
        <f t="shared" si="7"/>
        <v>0.32408728414771532</v>
      </c>
      <c r="L37" s="10">
        <f t="shared" si="7"/>
        <v>0.3671189231641121</v>
      </c>
      <c r="M37" s="10">
        <f t="shared" si="7"/>
        <v>0.40960134383202246</v>
      </c>
      <c r="N37" s="10">
        <f t="shared" si="7"/>
        <v>0.41800137139107751</v>
      </c>
      <c r="O37" s="10">
        <f t="shared" si="7"/>
        <v>0.47500155839894903</v>
      </c>
      <c r="P37" s="10"/>
    </row>
    <row r="38" spans="1:30">
      <c r="A38" t="s">
        <v>121</v>
      </c>
      <c r="B38" s="4" t="s">
        <v>112</v>
      </c>
      <c r="C38" s="8">
        <f t="shared" ref="C38:O38" si="8">C31+$P38-$P31</f>
        <v>387.28169175344902</v>
      </c>
      <c r="D38" s="8">
        <f t="shared" si="8"/>
        <v>386.95372479141821</v>
      </c>
      <c r="E38" s="8">
        <f t="shared" si="8"/>
        <v>385.64185694329478</v>
      </c>
      <c r="F38" s="8">
        <f t="shared" si="8"/>
        <v>383.01812124704799</v>
      </c>
      <c r="G38" s="8">
        <f t="shared" si="8"/>
        <v>379.08251770267776</v>
      </c>
      <c r="H38" s="8">
        <f t="shared" si="8"/>
        <v>373.83504631018417</v>
      </c>
      <c r="I38" s="8">
        <f t="shared" si="8"/>
        <v>367.2757070695672</v>
      </c>
      <c r="J38" s="8">
        <f t="shared" si="8"/>
        <v>359.40449998082681</v>
      </c>
      <c r="K38" s="8">
        <f t="shared" si="8"/>
        <v>350.22142504396305</v>
      </c>
      <c r="L38" s="8">
        <f t="shared" si="8"/>
        <v>339.72648225897609</v>
      </c>
      <c r="M38" s="8">
        <f t="shared" si="8"/>
        <v>328.08404354352967</v>
      </c>
      <c r="N38" s="8">
        <f t="shared" si="8"/>
        <v>300.71233914024367</v>
      </c>
      <c r="O38" s="8">
        <f t="shared" si="8"/>
        <v>294.8982804618102</v>
      </c>
      <c r="P38" s="8">
        <f>5/9*(P24-32)</f>
        <v>290.93455198094114</v>
      </c>
      <c r="Q38" s="8"/>
      <c r="R38" s="6" t="s">
        <v>123</v>
      </c>
      <c r="S38" s="10"/>
      <c r="T38" s="4"/>
      <c r="U38" s="4"/>
      <c r="V38" s="4"/>
      <c r="W38" s="4"/>
      <c r="X38" s="4"/>
      <c r="Y38" s="4"/>
      <c r="Z38" s="4"/>
    </row>
    <row r="39" spans="1:30">
      <c r="A39" t="s">
        <v>121</v>
      </c>
      <c r="B39" s="4" t="s">
        <v>105</v>
      </c>
      <c r="C39" s="8">
        <f t="shared" ref="C39:O39" si="9">C32+$P39-$P32</f>
        <v>385.79729981481489</v>
      </c>
      <c r="D39" s="8">
        <f t="shared" si="9"/>
        <v>385.4131055555556</v>
      </c>
      <c r="E39" s="8">
        <f t="shared" si="9"/>
        <v>384.26052277777785</v>
      </c>
      <c r="F39" s="8">
        <f t="shared" si="9"/>
        <v>381.90999166666677</v>
      </c>
      <c r="G39" s="8">
        <f t="shared" si="9"/>
        <v>378.21760555555562</v>
      </c>
      <c r="H39" s="8">
        <f t="shared" si="9"/>
        <v>373.18422055555561</v>
      </c>
      <c r="I39" s="8">
        <f t="shared" si="9"/>
        <v>366.81657944444453</v>
      </c>
      <c r="J39" s="8">
        <f t="shared" si="9"/>
        <v>359.11984388888891</v>
      </c>
      <c r="K39" s="8">
        <f t="shared" si="9"/>
        <v>350.09757388888892</v>
      </c>
      <c r="L39" s="8">
        <f t="shared" si="9"/>
        <v>339.75220111111116</v>
      </c>
      <c r="M39" s="8">
        <f t="shared" si="9"/>
        <v>328.10981222222227</v>
      </c>
      <c r="N39" s="8">
        <f t="shared" si="9"/>
        <v>300.89144000000005</v>
      </c>
      <c r="O39" s="8">
        <f t="shared" si="9"/>
        <v>295.3228866666667</v>
      </c>
      <c r="P39" s="8">
        <f>5/9*(P25-32)</f>
        <v>290.93455198094114</v>
      </c>
      <c r="Q39" s="4" t="s">
        <v>105</v>
      </c>
      <c r="R39" s="21">
        <f t="shared" ref="R39:AD41" si="10">(C39-C$38)/C$38</f>
        <v>-3.8328482090476024E-3</v>
      </c>
      <c r="S39" s="21">
        <f t="shared" si="10"/>
        <v>-3.9814043312105486E-3</v>
      </c>
      <c r="T39" s="21">
        <f t="shared" si="10"/>
        <v>-3.5819093302417258E-3</v>
      </c>
      <c r="U39" s="21">
        <f t="shared" si="10"/>
        <v>-2.8931518351489939E-3</v>
      </c>
      <c r="V39" s="21">
        <f t="shared" si="10"/>
        <v>-2.2815933384733636E-3</v>
      </c>
      <c r="W39" s="21">
        <f t="shared" si="10"/>
        <v>-1.7409436623246476E-3</v>
      </c>
      <c r="X39" s="21">
        <f t="shared" si="10"/>
        <v>-1.2500898270293456E-3</v>
      </c>
      <c r="Y39" s="21">
        <f t="shared" si="10"/>
        <v>-7.9202150210442549E-4</v>
      </c>
      <c r="Z39" s="21">
        <f t="shared" si="10"/>
        <v>-3.5363671728132586E-4</v>
      </c>
      <c r="AA39" s="21">
        <f t="shared" si="10"/>
        <v>7.5704584358736047E-5</v>
      </c>
      <c r="AB39" s="21">
        <f t="shared" si="10"/>
        <v>7.854291971740218E-5</v>
      </c>
      <c r="AC39" s="21">
        <f t="shared" si="10"/>
        <v>5.9558866213616543E-4</v>
      </c>
      <c r="AD39" s="21">
        <f t="shared" si="10"/>
        <v>1.4398395412532404E-3</v>
      </c>
    </row>
    <row r="40" spans="1:30">
      <c r="A40" t="s">
        <v>121</v>
      </c>
      <c r="B40" s="4" t="s">
        <v>106</v>
      </c>
      <c r="C40" s="8">
        <f t="shared" ref="C40:O40" si="11">C33+$P40-$P33</f>
        <v>385.96766037037042</v>
      </c>
      <c r="D40" s="8">
        <f t="shared" si="11"/>
        <v>385.58259444444445</v>
      </c>
      <c r="E40" s="8">
        <f t="shared" si="11"/>
        <v>384.42739666666671</v>
      </c>
      <c r="F40" s="8">
        <f t="shared" si="11"/>
        <v>382.07159444444449</v>
      </c>
      <c r="G40" s="8">
        <f t="shared" si="11"/>
        <v>378.37109611111117</v>
      </c>
      <c r="H40" s="8">
        <f t="shared" si="11"/>
        <v>373.32697444444449</v>
      </c>
      <c r="I40" s="8">
        <f t="shared" si="11"/>
        <v>366.94627166666669</v>
      </c>
      <c r="J40" s="8">
        <f t="shared" si="11"/>
        <v>359.23450166666669</v>
      </c>
      <c r="K40" s="8">
        <f t="shared" si="11"/>
        <v>350.19562444444449</v>
      </c>
      <c r="L40" s="8">
        <f t="shared" si="11"/>
        <v>339.83250388888888</v>
      </c>
      <c r="M40" s="8">
        <f t="shared" si="11"/>
        <v>328.17170722222227</v>
      </c>
      <c r="N40" s="8">
        <f t="shared" si="11"/>
        <v>300.90951444444443</v>
      </c>
      <c r="O40" s="8">
        <f t="shared" si="11"/>
        <v>295.33177166666667</v>
      </c>
      <c r="P40" s="8">
        <f>5/9*(P26-32)</f>
        <v>290.93455198094114</v>
      </c>
      <c r="Q40" s="4" t="s">
        <v>106</v>
      </c>
      <c r="R40" s="21">
        <f t="shared" si="10"/>
        <v>-3.3929602433030517E-3</v>
      </c>
      <c r="S40" s="21">
        <f t="shared" si="10"/>
        <v>-3.5433961715004686E-3</v>
      </c>
      <c r="T40" s="21">
        <f t="shared" si="10"/>
        <v>-3.1491920671013929E-3</v>
      </c>
      <c r="U40" s="21">
        <f t="shared" si="10"/>
        <v>-2.4712324302614067E-3</v>
      </c>
      <c r="V40" s="21">
        <f t="shared" si="10"/>
        <v>-1.8766932220403093E-3</v>
      </c>
      <c r="W40" s="21">
        <f t="shared" si="10"/>
        <v>-1.3590803504230978E-3</v>
      </c>
      <c r="X40" s="21">
        <f t="shared" si="10"/>
        <v>-8.9697030475831383E-4</v>
      </c>
      <c r="Y40" s="21">
        <f t="shared" si="10"/>
        <v>-4.7299996012624781E-4</v>
      </c>
      <c r="Z40" s="21">
        <f t="shared" si="10"/>
        <v>-7.3669392200441627E-5</v>
      </c>
      <c r="AA40" s="21">
        <f t="shared" si="10"/>
        <v>3.1207937988174747E-4</v>
      </c>
      <c r="AB40" s="21">
        <f t="shared" si="10"/>
        <v>2.6719884864184735E-4</v>
      </c>
      <c r="AC40" s="21">
        <f t="shared" si="10"/>
        <v>6.5569409211637959E-4</v>
      </c>
      <c r="AD40" s="21">
        <f t="shared" si="10"/>
        <v>1.4699685741728287E-3</v>
      </c>
    </row>
    <row r="41" spans="1:30">
      <c r="A41" t="s">
        <v>121</v>
      </c>
      <c r="B41" s="4" t="s">
        <v>107</v>
      </c>
      <c r="C41" s="8">
        <f t="shared" ref="C41:O41" si="12">C34+$P41-$P34</f>
        <v>385.7670825925926</v>
      </c>
      <c r="D41" s="8">
        <f t="shared" si="12"/>
        <v>385.3830427777778</v>
      </c>
      <c r="E41" s="8">
        <f t="shared" si="12"/>
        <v>384.23092333333341</v>
      </c>
      <c r="F41" s="8">
        <f t="shared" si="12"/>
        <v>381.88132777777781</v>
      </c>
      <c r="G41" s="8">
        <f t="shared" si="12"/>
        <v>378.19038111111121</v>
      </c>
      <c r="H41" s="8">
        <f t="shared" si="12"/>
        <v>373.15890055555559</v>
      </c>
      <c r="I41" s="8">
        <f t="shared" si="12"/>
        <v>366.7935766666667</v>
      </c>
      <c r="J41" s="8">
        <f t="shared" si="12"/>
        <v>359.09950833333335</v>
      </c>
      <c r="K41" s="8">
        <f t="shared" si="12"/>
        <v>350.08018444444446</v>
      </c>
      <c r="L41" s="8">
        <f t="shared" si="12"/>
        <v>339.73796000000004</v>
      </c>
      <c r="M41" s="8">
        <f t="shared" si="12"/>
        <v>328.09883666666667</v>
      </c>
      <c r="N41" s="8">
        <f t="shared" si="12"/>
        <v>300.88823777777782</v>
      </c>
      <c r="O41" s="8">
        <f t="shared" si="12"/>
        <v>295.32131444444445</v>
      </c>
      <c r="P41" s="8">
        <f>5/9*(P27-32)</f>
        <v>290.93455198094114</v>
      </c>
      <c r="Q41" s="4" t="s">
        <v>107</v>
      </c>
      <c r="R41" s="21">
        <f t="shared" si="10"/>
        <v>-3.9108720941568621E-3</v>
      </c>
      <c r="S41" s="21">
        <f t="shared" si="10"/>
        <v>-4.0590952173598042E-3</v>
      </c>
      <c r="T41" s="21">
        <f t="shared" si="10"/>
        <v>-3.658663043334637E-3</v>
      </c>
      <c r="U41" s="21">
        <f t="shared" si="10"/>
        <v>-2.9679887352821567E-3</v>
      </c>
      <c r="V41" s="21">
        <f t="shared" si="10"/>
        <v>-2.3534100094435794E-3</v>
      </c>
      <c r="W41" s="21">
        <f t="shared" si="10"/>
        <v>-1.8086740697595169E-3</v>
      </c>
      <c r="X41" s="21">
        <f t="shared" si="10"/>
        <v>-1.3127206445189331E-3</v>
      </c>
      <c r="Y41" s="21">
        <f t="shared" si="10"/>
        <v>-8.4860275124473011E-4</v>
      </c>
      <c r="Z41" s="21">
        <f t="shared" si="10"/>
        <v>-4.0328943182407106E-4</v>
      </c>
      <c r="AA41" s="21">
        <f t="shared" si="10"/>
        <v>3.3785240843258825E-5</v>
      </c>
      <c r="AB41" s="21">
        <f t="shared" si="10"/>
        <v>4.508943189440399E-5</v>
      </c>
      <c r="AC41" s="21">
        <f t="shared" si="10"/>
        <v>5.8493987322586177E-4</v>
      </c>
      <c r="AD41" s="21">
        <f t="shared" si="10"/>
        <v>1.4345081360657005E-3</v>
      </c>
    </row>
    <row r="42" spans="1:30">
      <c r="Q42" s="4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5" spans="1:30">
      <c r="C45" s="4"/>
      <c r="D45" s="4" t="s">
        <v>124</v>
      </c>
    </row>
    <row r="46" spans="1:30">
      <c r="B46" s="8"/>
      <c r="C46" s="8"/>
      <c r="D46" s="19">
        <v>725.74359000000004</v>
      </c>
      <c r="E46" s="8">
        <v>723.66894100000002</v>
      </c>
      <c r="F46" s="8">
        <v>719.43798500000003</v>
      </c>
      <c r="G46" s="8">
        <v>712.79169000000002</v>
      </c>
      <c r="H46" s="8">
        <v>703.73159699999997</v>
      </c>
      <c r="I46" s="8">
        <v>692.26984300000004</v>
      </c>
      <c r="J46" s="8">
        <v>678.41571899999997</v>
      </c>
      <c r="K46" s="8">
        <v>662.17563299999995</v>
      </c>
      <c r="L46" s="8">
        <v>643.55396199999996</v>
      </c>
      <c r="M46" s="8">
        <v>622.59766200000001</v>
      </c>
      <c r="N46" s="8">
        <v>573.60459200000003</v>
      </c>
      <c r="O46" s="8">
        <v>563.58119599999998</v>
      </c>
      <c r="P46" s="8"/>
    </row>
    <row r="47" spans="1:30">
      <c r="A47" s="8"/>
      <c r="D47" s="20">
        <v>726.04867000000002</v>
      </c>
      <c r="E47">
        <v>723.96931400000005</v>
      </c>
      <c r="F47">
        <v>719.72887000000003</v>
      </c>
      <c r="G47">
        <v>713.06797300000005</v>
      </c>
      <c r="H47">
        <v>703.98855400000002</v>
      </c>
      <c r="I47">
        <v>692.503289</v>
      </c>
      <c r="J47">
        <v>678.62210300000004</v>
      </c>
      <c r="K47">
        <v>662.352124</v>
      </c>
      <c r="L47">
        <v>643.69850699999995</v>
      </c>
      <c r="M47">
        <v>622.70907299999999</v>
      </c>
      <c r="N47">
        <v>573.63712599999997</v>
      </c>
      <c r="O47">
        <v>563.59718899999996</v>
      </c>
    </row>
    <row r="48" spans="1:30">
      <c r="D48">
        <v>725.68947700000001</v>
      </c>
      <c r="E48">
        <v>723.61566200000004</v>
      </c>
      <c r="F48">
        <v>719.38639000000001</v>
      </c>
      <c r="G48">
        <v>712.74268600000005</v>
      </c>
      <c r="H48">
        <v>703.68602099999998</v>
      </c>
      <c r="I48">
        <v>692.22843799999998</v>
      </c>
      <c r="J48">
        <v>678.37911499999996</v>
      </c>
      <c r="K48">
        <v>662.14433199999996</v>
      </c>
      <c r="L48">
        <v>643.52832799999999</v>
      </c>
      <c r="M48">
        <v>622.57790599999998</v>
      </c>
      <c r="N48">
        <v>573.59882800000003</v>
      </c>
      <c r="O48">
        <v>563.57836599999996</v>
      </c>
    </row>
  </sheetData>
  <mergeCells count="1">
    <mergeCell ref="B1:E2"/>
  </mergeCells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zoomScale="90" zoomScaleNormal="90" zoomScalePageLayoutView="90" workbookViewId="0">
      <selection activeCell="E15" sqref="E15"/>
    </sheetView>
  </sheetViews>
  <sheetFormatPr baseColWidth="10" defaultColWidth="8.83203125" defaultRowHeight="12" x14ac:dyDescent="0"/>
  <sheetData>
    <row r="1" spans="2:5">
      <c r="B1" s="3" t="s">
        <v>97</v>
      </c>
      <c r="C1" s="3"/>
      <c r="D1" s="3"/>
      <c r="E1" s="3"/>
    </row>
    <row r="2" spans="2:5">
      <c r="B2" s="3"/>
      <c r="C2" s="3"/>
      <c r="D2" s="3"/>
      <c r="E2" s="3"/>
    </row>
    <row r="4" spans="2:5">
      <c r="B4" t="s">
        <v>98</v>
      </c>
    </row>
    <row r="6" spans="2:5">
      <c r="B6" s="7" t="s">
        <v>99</v>
      </c>
    </row>
    <row r="7" spans="2:5">
      <c r="C7" t="s">
        <v>100</v>
      </c>
      <c r="D7" t="s">
        <v>101</v>
      </c>
      <c r="E7" t="s">
        <v>101</v>
      </c>
    </row>
    <row r="8" spans="2:5">
      <c r="C8" t="s">
        <v>102</v>
      </c>
      <c r="D8" t="s">
        <v>103</v>
      </c>
      <c r="E8" t="s">
        <v>82</v>
      </c>
    </row>
    <row r="9" spans="2:5">
      <c r="B9" s="4" t="s">
        <v>104</v>
      </c>
      <c r="C9" s="10">
        <v>0.66138600000000003</v>
      </c>
      <c r="D9" s="4">
        <v>554.23225806451603</v>
      </c>
      <c r="E9" s="4">
        <f>2.326*D9</f>
        <v>1289.1442322580642</v>
      </c>
    </row>
    <row r="10" spans="2:5">
      <c r="B10" s="4" t="s">
        <v>105</v>
      </c>
      <c r="C10" s="10">
        <v>0.66139538674123899</v>
      </c>
      <c r="D10" s="4">
        <v>575.58042088328602</v>
      </c>
      <c r="E10" s="4">
        <f>2.326*D10</f>
        <v>1338.8000589745234</v>
      </c>
    </row>
    <row r="11" spans="2:5">
      <c r="B11" s="4" t="s">
        <v>106</v>
      </c>
      <c r="C11" s="4">
        <f>C10</f>
        <v>0.66139538674123899</v>
      </c>
      <c r="D11" s="4">
        <v>575.54545097384698</v>
      </c>
      <c r="E11" s="4">
        <f>2.326*D11</f>
        <v>1338.7187189651681</v>
      </c>
    </row>
    <row r="12" spans="2:5">
      <c r="B12" s="4" t="s">
        <v>107</v>
      </c>
      <c r="C12" s="4">
        <f>C11</f>
        <v>0.66139538674123899</v>
      </c>
      <c r="D12" s="4">
        <v>575.35767078660797</v>
      </c>
      <c r="E12" s="4">
        <f>2.326*D12</f>
        <v>1338.2819422496502</v>
      </c>
    </row>
    <row r="16" spans="2:5">
      <c r="B16" s="7" t="s">
        <v>108</v>
      </c>
    </row>
    <row r="17" spans="1:40">
      <c r="B17" s="4"/>
      <c r="C17" s="4" t="s">
        <v>109</v>
      </c>
      <c r="D17" s="4" t="s">
        <v>110</v>
      </c>
      <c r="E17" s="4" t="s">
        <v>111</v>
      </c>
    </row>
    <row r="18" spans="1:40">
      <c r="B18" s="4"/>
      <c r="C18" s="4" t="s">
        <v>82</v>
      </c>
      <c r="D18" s="4" t="s">
        <v>62</v>
      </c>
      <c r="E18" s="4" t="s">
        <v>60</v>
      </c>
    </row>
    <row r="19" spans="1:40">
      <c r="B19" s="4" t="s">
        <v>112</v>
      </c>
      <c r="C19" s="4">
        <f>q_lin*L_chan/(M_dot)</f>
        <v>48.773333333333333</v>
      </c>
      <c r="D19" s="16">
        <f>M_dot*C19</f>
        <v>14.632</v>
      </c>
      <c r="E19" s="8">
        <f>q_lin</f>
        <v>4</v>
      </c>
      <c r="F19" t="s">
        <v>113</v>
      </c>
    </row>
    <row r="20" spans="1:40">
      <c r="B20" s="4" t="s">
        <v>105</v>
      </c>
      <c r="C20" s="8">
        <f>E10-$E$9</f>
        <v>49.65582671645916</v>
      </c>
      <c r="D20" s="16">
        <f>M_dot*C20</f>
        <v>14.896748014937748</v>
      </c>
      <c r="E20" s="8">
        <f>D20/L_chan</f>
        <v>4.0723750724269401</v>
      </c>
      <c r="F20" s="17">
        <f>(E20-$E$19)/$E$19</f>
        <v>1.809376810673502E-2</v>
      </c>
    </row>
    <row r="21" spans="1:40">
      <c r="B21" s="4" t="s">
        <v>106</v>
      </c>
      <c r="C21" s="8">
        <f>E11-$E$9</f>
        <v>49.574486707103915</v>
      </c>
      <c r="D21" s="16">
        <f>M_dot*C21</f>
        <v>14.872346012131175</v>
      </c>
      <c r="E21" s="8">
        <f>D21/L_chan</f>
        <v>4.0657042132671339</v>
      </c>
      <c r="F21" s="17">
        <f>(E21-$E$19)/$E$19</f>
        <v>1.6426053316783484E-2</v>
      </c>
    </row>
    <row r="22" spans="1:40">
      <c r="B22" s="4" t="s">
        <v>107</v>
      </c>
      <c r="C22" s="8">
        <f>E12-$E$9</f>
        <v>49.137709991586007</v>
      </c>
      <c r="D22" s="16">
        <f>M_dot*C22</f>
        <v>14.741312997475802</v>
      </c>
      <c r="E22" s="8">
        <f>D22/L_chan</f>
        <v>4.0298832688561514</v>
      </c>
      <c r="F22" s="17">
        <f>(E22-$E$19)/$E$19</f>
        <v>7.4708172140378615E-3</v>
      </c>
    </row>
    <row r="23" spans="1:40">
      <c r="C23" s="7" t="s">
        <v>99</v>
      </c>
    </row>
    <row r="24" spans="1:40">
      <c r="B24" t="s">
        <v>114</v>
      </c>
      <c r="D24" s="12">
        <f>D25</f>
        <v>4.8729883837070098E-4</v>
      </c>
      <c r="E24" s="12">
        <f>E25</f>
        <v>1.0896333279535699E-3</v>
      </c>
      <c r="F24">
        <f t="shared" ref="F24:Y24" si="0">F25-E25</f>
        <v>6.6734762026603015E-4</v>
      </c>
      <c r="G24">
        <f t="shared" si="0"/>
        <v>6.7951324363390003E-4</v>
      </c>
      <c r="H24">
        <f t="shared" si="0"/>
        <v>6.8374081099081005E-4</v>
      </c>
      <c r="I24">
        <f t="shared" si="0"/>
        <v>6.8569059161014984E-4</v>
      </c>
      <c r="J24">
        <f t="shared" si="0"/>
        <v>6.8674770989140014E-4</v>
      </c>
      <c r="K24">
        <f t="shared" si="0"/>
        <v>6.8738440191091002E-4</v>
      </c>
      <c r="L24">
        <f t="shared" si="0"/>
        <v>6.8779734411964985E-4</v>
      </c>
      <c r="M24">
        <f t="shared" si="0"/>
        <v>6.8808031963873018E-4</v>
      </c>
      <c r="N24">
        <f t="shared" si="0"/>
        <v>6.8828266169213958E-4</v>
      </c>
      <c r="O24">
        <f t="shared" si="0"/>
        <v>6.8843233481714027E-4</v>
      </c>
      <c r="P24">
        <f t="shared" si="0"/>
        <v>6.8854615226789963E-4</v>
      </c>
      <c r="Q24">
        <f t="shared" si="0"/>
        <v>6.8863471626577979E-4</v>
      </c>
      <c r="R24">
        <f t="shared" si="0"/>
        <v>6.887049811287408E-4</v>
      </c>
      <c r="S24">
        <f t="shared" si="0"/>
        <v>6.8876166209115054E-4</v>
      </c>
      <c r="T24">
        <f t="shared" si="0"/>
        <v>6.8880804788149994E-4</v>
      </c>
      <c r="U24">
        <f t="shared" si="0"/>
        <v>6.8884648895049978E-4</v>
      </c>
      <c r="V24">
        <f t="shared" si="0"/>
        <v>6.8887870130529896E-4</v>
      </c>
      <c r="W24">
        <f t="shared" si="0"/>
        <v>6.8448909355850115E-4</v>
      </c>
      <c r="X24">
        <f t="shared" si="0"/>
        <v>2.7559055118109993E-4</v>
      </c>
      <c r="Y24">
        <f t="shared" si="0"/>
        <v>1.8700787401573996E-3</v>
      </c>
      <c r="Z24" s="4" t="s">
        <v>115</v>
      </c>
    </row>
    <row r="25" spans="1:40">
      <c r="B25" t="s">
        <v>116</v>
      </c>
      <c r="C25">
        <v>0</v>
      </c>
      <c r="D25" s="12">
        <v>4.8729883837070098E-4</v>
      </c>
      <c r="E25" s="12">
        <v>1.0896333279535699E-3</v>
      </c>
      <c r="F25" s="12">
        <v>1.7569809482196001E-3</v>
      </c>
      <c r="G25" s="12">
        <v>2.4364941918535001E-3</v>
      </c>
      <c r="H25" s="12">
        <v>3.1202350028443101E-3</v>
      </c>
      <c r="I25" s="12">
        <v>3.80592559445446E-3</v>
      </c>
      <c r="J25" s="12">
        <v>4.4926733043458601E-3</v>
      </c>
      <c r="K25" s="12">
        <v>5.1800577062567701E-3</v>
      </c>
      <c r="L25" s="12">
        <v>5.86785505037642E-3</v>
      </c>
      <c r="M25" s="12">
        <v>6.5559353700151502E-3</v>
      </c>
      <c r="N25" s="12">
        <v>7.2442180317072898E-3</v>
      </c>
      <c r="O25" s="12">
        <v>7.93265036652443E-3</v>
      </c>
      <c r="P25" s="12">
        <v>8.6211965187923296E-3</v>
      </c>
      <c r="Q25" s="12">
        <v>9.3098312350581094E-3</v>
      </c>
      <c r="R25" s="12">
        <v>9.9985362161868502E-3</v>
      </c>
      <c r="S25" s="12">
        <v>1.0687297878278001E-2</v>
      </c>
      <c r="T25" s="12">
        <v>1.1376105926159501E-2</v>
      </c>
      <c r="U25" s="12">
        <v>1.2064952415110001E-2</v>
      </c>
      <c r="V25" s="12">
        <v>1.2753831116415299E-2</v>
      </c>
      <c r="W25" s="12">
        <v>1.3438320209973801E-2</v>
      </c>
      <c r="X25" s="12">
        <v>1.3713910761154901E-2</v>
      </c>
      <c r="Y25" s="12">
        <v>1.55839895013123E-2</v>
      </c>
      <c r="Z25" s="18">
        <f>(t_in+q_lin*dz*2/(M_dot*cp_in))*9/5+32</f>
        <v>555.68219356569398</v>
      </c>
    </row>
    <row r="26" spans="1:40">
      <c r="A26" t="s">
        <v>117</v>
      </c>
      <c r="B26" s="4" t="s">
        <v>105</v>
      </c>
      <c r="C26" s="8">
        <f>1/3*(4*D26-E26)</f>
        <v>728.28747866666663</v>
      </c>
      <c r="D26" s="20">
        <v>728.12333100000001</v>
      </c>
      <c r="E26" s="8">
        <v>727.63088800000003</v>
      </c>
      <c r="F26" s="8">
        <v>726.62663999999995</v>
      </c>
      <c r="G26" s="8">
        <v>725.04914799999995</v>
      </c>
      <c r="H26" s="8">
        <v>722.89884900000004</v>
      </c>
      <c r="I26" s="8">
        <v>720.17871300000002</v>
      </c>
      <c r="J26" s="8">
        <v>716.89105700000005</v>
      </c>
      <c r="K26" s="8">
        <v>713.03752299999996</v>
      </c>
      <c r="L26" s="8">
        <v>708.619282</v>
      </c>
      <c r="M26" s="8">
        <v>703.63718200000005</v>
      </c>
      <c r="N26" s="8">
        <v>698.09184700000003</v>
      </c>
      <c r="O26" s="8">
        <v>691.983743</v>
      </c>
      <c r="P26" s="8">
        <v>685.31322</v>
      </c>
      <c r="Q26" s="8">
        <v>678.08053900000004</v>
      </c>
      <c r="R26" s="8">
        <v>670.28589799999997</v>
      </c>
      <c r="S26" s="8">
        <v>661.92944299999999</v>
      </c>
      <c r="T26">
        <v>653.01127899999994</v>
      </c>
      <c r="U26">
        <v>643.53148199999998</v>
      </c>
      <c r="V26">
        <v>633.49009899999999</v>
      </c>
      <c r="W26">
        <v>622.89240099999995</v>
      </c>
      <c r="X26">
        <v>573.68885399999999</v>
      </c>
      <c r="Y26">
        <v>563.62236800000005</v>
      </c>
      <c r="Z26" s="12">
        <f>Z25</f>
        <v>555.68219356569398</v>
      </c>
    </row>
    <row r="27" spans="1:40">
      <c r="A27" t="s">
        <v>117</v>
      </c>
      <c r="B27" s="4" t="s">
        <v>106</v>
      </c>
      <c r="C27" s="8">
        <f>1/3*(4*D27-E27)</f>
        <v>728.57967633333328</v>
      </c>
      <c r="D27" s="19">
        <v>728.41516899999999</v>
      </c>
      <c r="E27">
        <v>727.92164700000001</v>
      </c>
      <c r="F27">
        <v>726.91520400000002</v>
      </c>
      <c r="G27">
        <v>725.33428100000003</v>
      </c>
      <c r="H27">
        <v>723.17933700000003</v>
      </c>
      <c r="I27">
        <v>720.45337900000004</v>
      </c>
      <c r="J27">
        <v>717.15876500000002</v>
      </c>
      <c r="K27">
        <v>713.29718600000001</v>
      </c>
      <c r="L27">
        <v>708.869865</v>
      </c>
      <c r="M27">
        <v>703.87770899999998</v>
      </c>
      <c r="N27">
        <v>698.32140700000002</v>
      </c>
      <c r="O27">
        <v>692.20149400000003</v>
      </c>
      <c r="P27">
        <v>685.51839299999995</v>
      </c>
      <c r="Q27">
        <v>678.27244700000006</v>
      </c>
      <c r="R27">
        <v>670.46393499999999</v>
      </c>
      <c r="S27">
        <v>662.09308899999996</v>
      </c>
      <c r="T27">
        <v>653.16010200000005</v>
      </c>
      <c r="U27">
        <v>643.66513999999995</v>
      </c>
      <c r="V27">
        <v>633.60834399999999</v>
      </c>
      <c r="W27">
        <v>622.99508000000003</v>
      </c>
      <c r="X27">
        <v>573.71884699999998</v>
      </c>
      <c r="Y27">
        <v>563.637113</v>
      </c>
      <c r="Z27" s="12">
        <f>Z26</f>
        <v>555.68219356569398</v>
      </c>
    </row>
    <row r="28" spans="1:40">
      <c r="A28" t="s">
        <v>117</v>
      </c>
      <c r="B28" s="4" t="s">
        <v>107</v>
      </c>
      <c r="C28" s="8">
        <f>1/3*(4*D28-E28)</f>
        <v>728.23450633333334</v>
      </c>
      <c r="D28" s="20">
        <v>728.070424</v>
      </c>
      <c r="E28">
        <v>727.57817699999998</v>
      </c>
      <c r="F28">
        <v>726.57432700000004</v>
      </c>
      <c r="G28">
        <v>724.99745700000005</v>
      </c>
      <c r="H28">
        <v>722.84799999999996</v>
      </c>
      <c r="I28">
        <v>720.12892099999999</v>
      </c>
      <c r="J28">
        <v>716.84252600000002</v>
      </c>
      <c r="K28">
        <v>712.99045000000001</v>
      </c>
      <c r="L28">
        <v>708.57385599999998</v>
      </c>
      <c r="M28">
        <v>703.59357899999998</v>
      </c>
      <c r="N28">
        <v>698.05023300000005</v>
      </c>
      <c r="O28">
        <v>691.94426999999996</v>
      </c>
      <c r="P28">
        <v>685.276027</v>
      </c>
      <c r="Q28">
        <v>678.045751</v>
      </c>
      <c r="R28">
        <v>670.25362500000006</v>
      </c>
      <c r="S28">
        <v>661.89977899999997</v>
      </c>
      <c r="T28">
        <v>652.98430399999995</v>
      </c>
      <c r="U28">
        <v>643.50725599999998</v>
      </c>
      <c r="V28">
        <v>633.46866799999998</v>
      </c>
      <c r="W28">
        <v>622.87379099999998</v>
      </c>
      <c r="X28">
        <v>573.68342299999995</v>
      </c>
      <c r="Y28">
        <v>563.61970099999996</v>
      </c>
      <c r="Z28" s="12">
        <f>Z27</f>
        <v>555.68219356569398</v>
      </c>
    </row>
    <row r="29" spans="1:40">
      <c r="C29" s="7" t="s">
        <v>118</v>
      </c>
    </row>
    <row r="30" spans="1:40">
      <c r="B30" s="4" t="s">
        <v>119</v>
      </c>
      <c r="C30" s="8">
        <f t="shared" ref="C30:Y30" si="1">(C25)*t_ft_m*100</f>
        <v>0</v>
      </c>
      <c r="D30" s="8">
        <f t="shared" si="1"/>
        <v>1.4852917323422801E-2</v>
      </c>
      <c r="E30" s="8">
        <f t="shared" si="1"/>
        <v>3.3212132799357606E-2</v>
      </c>
      <c r="F30" s="8">
        <f t="shared" si="1"/>
        <v>5.3552954999828234E-2</v>
      </c>
      <c r="G30" s="8">
        <f t="shared" si="1"/>
        <v>7.4264586617113867E-2</v>
      </c>
      <c r="H30" s="8">
        <f t="shared" si="1"/>
        <v>9.5105074910194848E-2</v>
      </c>
      <c r="I30" s="8">
        <f t="shared" si="1"/>
        <v>0.11600499271153138</v>
      </c>
      <c r="J30" s="8">
        <f t="shared" si="1"/>
        <v>0.13693713158379225</v>
      </c>
      <c r="K30" s="8">
        <f t="shared" si="1"/>
        <v>0.15788867689247699</v>
      </c>
      <c r="L30" s="8">
        <f t="shared" si="1"/>
        <v>0.17885280872097831</v>
      </c>
      <c r="M30" s="8">
        <f t="shared" si="1"/>
        <v>0.19982556567159876</v>
      </c>
      <c r="N30" s="8">
        <f t="shared" si="1"/>
        <v>0.22080449002824135</v>
      </c>
      <c r="O30" s="8">
        <f t="shared" si="1"/>
        <v>0.24178797643670127</v>
      </c>
      <c r="P30" s="8">
        <f t="shared" si="1"/>
        <v>0.26277493201244206</v>
      </c>
      <c r="Q30" s="8">
        <f t="shared" si="1"/>
        <v>0.28376458702769464</v>
      </c>
      <c r="R30" s="8">
        <f t="shared" si="1"/>
        <v>0.30475638372299679</v>
      </c>
      <c r="S30" s="8">
        <f t="shared" si="1"/>
        <v>0.32574990805970128</v>
      </c>
      <c r="T30" s="8">
        <f t="shared" si="1"/>
        <v>0.34674484623993418</v>
      </c>
      <c r="U30" s="8">
        <f t="shared" si="1"/>
        <v>0.36774095610779434</v>
      </c>
      <c r="V30" s="8">
        <f t="shared" si="1"/>
        <v>0.38873804781144994</v>
      </c>
      <c r="W30" s="8">
        <f t="shared" si="1"/>
        <v>0.40960134383202246</v>
      </c>
      <c r="X30" s="8">
        <f t="shared" si="1"/>
        <v>0.41800137139107751</v>
      </c>
      <c r="Y30" s="8">
        <f t="shared" si="1"/>
        <v>0.47500155839894903</v>
      </c>
      <c r="AB30" s="8"/>
      <c r="AC30" s="6" t="s">
        <v>120</v>
      </c>
      <c r="AD30" s="10"/>
      <c r="AE30" s="4"/>
      <c r="AF30" s="4"/>
      <c r="AG30" s="4"/>
      <c r="AH30" s="4"/>
      <c r="AI30" s="4"/>
      <c r="AJ30" s="4"/>
      <c r="AK30" s="4"/>
    </row>
    <row r="31" spans="1:40">
      <c r="A31" t="s">
        <v>121</v>
      </c>
      <c r="B31" s="4" t="s">
        <v>112</v>
      </c>
      <c r="C31" s="8">
        <f t="shared" ref="C31:V31" si="2">q_dot*1000/(4*k_fuel)*((R_fuel/100)^2)*(1-(C30/R_fuel)^2)+delta_gap+delta_clad</f>
        <v>92.383411291638822</v>
      </c>
      <c r="D31" s="8">
        <f t="shared" si="2"/>
        <v>92.305570349302769</v>
      </c>
      <c r="E31" s="8">
        <f t="shared" si="2"/>
        <v>91.994206579958558</v>
      </c>
      <c r="F31" s="8">
        <f t="shared" si="2"/>
        <v>91.371479041270135</v>
      </c>
      <c r="G31" s="8">
        <f t="shared" si="2"/>
        <v>90.4373877332375</v>
      </c>
      <c r="H31" s="8">
        <f t="shared" si="2"/>
        <v>89.19193265586064</v>
      </c>
      <c r="I31" s="8">
        <f t="shared" si="2"/>
        <v>87.635113809139568</v>
      </c>
      <c r="J31" s="8">
        <f t="shared" si="2"/>
        <v>85.766931193074299</v>
      </c>
      <c r="K31" s="8">
        <f t="shared" si="2"/>
        <v>83.587384807664804</v>
      </c>
      <c r="L31" s="8">
        <f t="shared" si="2"/>
        <v>81.096474652911098</v>
      </c>
      <c r="M31" s="8">
        <f t="shared" si="2"/>
        <v>78.294200728813195</v>
      </c>
      <c r="N31" s="8">
        <f t="shared" si="2"/>
        <v>75.180563035371094</v>
      </c>
      <c r="O31" s="8">
        <f t="shared" si="2"/>
        <v>71.755561572584739</v>
      </c>
      <c r="P31" s="8">
        <f t="shared" si="2"/>
        <v>68.019196340454215</v>
      </c>
      <c r="Q31" s="8">
        <f t="shared" si="2"/>
        <v>63.971467338979444</v>
      </c>
      <c r="R31" s="8">
        <f t="shared" si="2"/>
        <v>59.612374568160426</v>
      </c>
      <c r="S31" s="8">
        <f t="shared" si="2"/>
        <v>54.941918027997453</v>
      </c>
      <c r="T31" s="8">
        <f t="shared" si="2"/>
        <v>49.960097718490054</v>
      </c>
      <c r="U31" s="8">
        <f t="shared" si="2"/>
        <v>44.666913639637848</v>
      </c>
      <c r="V31" s="8">
        <f t="shared" si="2"/>
        <v>39.062365791442303</v>
      </c>
      <c r="W31" s="8">
        <f>delta_gap+delta_clad</f>
        <v>33.185763081719486</v>
      </c>
      <c r="X31" s="8">
        <f>delta_clad</f>
        <v>5.8140586784334642</v>
      </c>
      <c r="Y31" s="8">
        <v>0</v>
      </c>
      <c r="Z31" s="8">
        <f>-delta_fluid</f>
        <v>-3.9637284808690443</v>
      </c>
      <c r="AB31" s="4" t="s">
        <v>105</v>
      </c>
      <c r="AC31" s="9">
        <f t="shared" ref="AC31:AN33" si="3">C32-C$31</f>
        <v>-0.90279425460182949</v>
      </c>
      <c r="AD31" s="9">
        <f t="shared" si="3"/>
        <v>-0.91614646041389847</v>
      </c>
      <c r="AE31" s="9">
        <f t="shared" si="3"/>
        <v>-0.87836213551412357</v>
      </c>
      <c r="AF31" s="9">
        <f t="shared" si="3"/>
        <v>-0.81355015238129624</v>
      </c>
      <c r="AG31" s="9">
        <f t="shared" si="3"/>
        <v>-0.75584328879311613</v>
      </c>
      <c r="AH31" s="9">
        <f t="shared" si="3"/>
        <v>-0.70499876697175523</v>
      </c>
      <c r="AI31" s="9">
        <f t="shared" si="3"/>
        <v>-0.65936658691735772</v>
      </c>
      <c r="AJ31" s="9">
        <f t="shared" si="3"/>
        <v>-0.61765952640763544</v>
      </c>
      <c r="AK31" s="9">
        <f t="shared" si="3"/>
        <v>-0.57896536322040504</v>
      </c>
      <c r="AL31" s="9">
        <f t="shared" si="3"/>
        <v>-0.542633541800015</v>
      </c>
      <c r="AM31" s="9">
        <f t="shared" si="3"/>
        <v>-0.50819295103541151</v>
      </c>
      <c r="AN31" s="9">
        <f t="shared" si="3"/>
        <v>-0.47529692425999315</v>
      </c>
    </row>
    <row r="32" spans="1:40">
      <c r="A32" t="s">
        <v>121</v>
      </c>
      <c r="B32" s="4" t="s">
        <v>105</v>
      </c>
      <c r="C32" s="8">
        <f t="shared" ref="C32:Z32" si="4">(C26-$Y26)*t_R_K</f>
        <v>91.480617037036993</v>
      </c>
      <c r="D32" s="8">
        <f t="shared" si="4"/>
        <v>91.389423888888871</v>
      </c>
      <c r="E32" s="8">
        <f t="shared" si="4"/>
        <v>91.115844444444434</v>
      </c>
      <c r="F32" s="8">
        <f t="shared" si="4"/>
        <v>90.557928888888839</v>
      </c>
      <c r="G32" s="8">
        <f t="shared" si="4"/>
        <v>89.681544444444384</v>
      </c>
      <c r="H32" s="8">
        <f t="shared" si="4"/>
        <v>88.486933888888885</v>
      </c>
      <c r="I32" s="8">
        <f t="shared" si="4"/>
        <v>86.975747222222211</v>
      </c>
      <c r="J32" s="8">
        <f t="shared" si="4"/>
        <v>85.149271666666664</v>
      </c>
      <c r="K32" s="8">
        <f t="shared" si="4"/>
        <v>83.008419444444399</v>
      </c>
      <c r="L32" s="8">
        <f t="shared" si="4"/>
        <v>80.553841111111083</v>
      </c>
      <c r="M32" s="8">
        <f t="shared" si="4"/>
        <v>77.786007777777783</v>
      </c>
      <c r="N32" s="8">
        <f t="shared" si="4"/>
        <v>74.705266111111101</v>
      </c>
      <c r="O32" s="8">
        <f t="shared" si="4"/>
        <v>71.311874999999972</v>
      </c>
      <c r="P32" s="8">
        <f t="shared" si="4"/>
        <v>67.606028888888858</v>
      </c>
      <c r="Q32" s="8">
        <f t="shared" si="4"/>
        <v>63.587872777777775</v>
      </c>
      <c r="R32" s="8">
        <f t="shared" si="4"/>
        <v>59.257516666666625</v>
      </c>
      <c r="S32" s="8">
        <f t="shared" si="4"/>
        <v>54.615041666666635</v>
      </c>
      <c r="T32" s="8">
        <f t="shared" si="4"/>
        <v>49.660506111111054</v>
      </c>
      <c r="U32" s="8">
        <f t="shared" si="4"/>
        <v>44.393952222222183</v>
      </c>
      <c r="V32" s="8">
        <f t="shared" si="4"/>
        <v>38.815406111111074</v>
      </c>
      <c r="W32" s="8">
        <f t="shared" si="4"/>
        <v>32.927796111111057</v>
      </c>
      <c r="X32" s="8">
        <f t="shared" si="4"/>
        <v>5.59249222222219</v>
      </c>
      <c r="Y32" s="8">
        <f t="shared" si="4"/>
        <v>0</v>
      </c>
      <c r="Z32" s="8">
        <f t="shared" si="4"/>
        <v>-4.4112080190589298</v>
      </c>
      <c r="AB32" s="4" t="s">
        <v>106</v>
      </c>
      <c r="AC32" s="9">
        <f t="shared" si="3"/>
        <v>-0.74865388423144452</v>
      </c>
      <c r="AD32" s="9">
        <f t="shared" si="3"/>
        <v>-0.76220590485831963</v>
      </c>
      <c r="AE32" s="9">
        <f t="shared" si="3"/>
        <v>-0.72502102440299154</v>
      </c>
      <c r="AF32" s="9">
        <f t="shared" si="3"/>
        <v>-0.66142848571456625</v>
      </c>
      <c r="AG32" s="9">
        <f t="shared" si="3"/>
        <v>-0.60562773323748331</v>
      </c>
      <c r="AH32" s="9">
        <f t="shared" si="3"/>
        <v>-0.55736376697173284</v>
      </c>
      <c r="AI32" s="9">
        <f t="shared" si="3"/>
        <v>-0.51496603136176589</v>
      </c>
      <c r="AJ32" s="9">
        <f t="shared" si="3"/>
        <v>-0.47712452640762137</v>
      </c>
      <c r="AK32" s="9">
        <f t="shared" si="3"/>
        <v>-0.44289980766480141</v>
      </c>
      <c r="AL32" s="9">
        <f t="shared" si="3"/>
        <v>-0.41161243068887643</v>
      </c>
      <c r="AM32" s="9">
        <f t="shared" si="3"/>
        <v>-0.38275850659097443</v>
      </c>
      <c r="AN32" s="9">
        <f t="shared" si="3"/>
        <v>-0.35595525759329405</v>
      </c>
    </row>
    <row r="33" spans="1:41">
      <c r="A33" t="s">
        <v>121</v>
      </c>
      <c r="B33" s="4" t="s">
        <v>106</v>
      </c>
      <c r="C33" s="8">
        <f t="shared" ref="C33:Z33" si="5">(C27-$Y27)*t_R_K</f>
        <v>91.634757407407378</v>
      </c>
      <c r="D33" s="8">
        <f t="shared" si="5"/>
        <v>91.54336444444445</v>
      </c>
      <c r="E33" s="8">
        <f t="shared" si="5"/>
        <v>91.269185555555566</v>
      </c>
      <c r="F33" s="8">
        <f t="shared" si="5"/>
        <v>90.710050555555569</v>
      </c>
      <c r="G33" s="8">
        <f t="shared" si="5"/>
        <v>89.831760000000017</v>
      </c>
      <c r="H33" s="8">
        <f t="shared" si="5"/>
        <v>88.634568888888907</v>
      </c>
      <c r="I33" s="8">
        <f t="shared" si="5"/>
        <v>87.120147777777802</v>
      </c>
      <c r="J33" s="8">
        <f t="shared" si="5"/>
        <v>85.289806666666678</v>
      </c>
      <c r="K33" s="8">
        <f t="shared" si="5"/>
        <v>83.144485000000003</v>
      </c>
      <c r="L33" s="8">
        <f t="shared" si="5"/>
        <v>80.684862222222222</v>
      </c>
      <c r="M33" s="8">
        <f t="shared" si="5"/>
        <v>77.91144222222222</v>
      </c>
      <c r="N33" s="8">
        <f t="shared" si="5"/>
        <v>74.8246077777778</v>
      </c>
      <c r="O33" s="8">
        <f t="shared" si="5"/>
        <v>71.424656111111133</v>
      </c>
      <c r="P33" s="8">
        <f t="shared" si="5"/>
        <v>67.711822222222196</v>
      </c>
      <c r="Q33" s="8">
        <f t="shared" si="5"/>
        <v>63.686296666666699</v>
      </c>
      <c r="R33" s="8">
        <f t="shared" si="5"/>
        <v>59.348234444444444</v>
      </c>
      <c r="S33" s="8">
        <f t="shared" si="5"/>
        <v>54.697764444444424</v>
      </c>
      <c r="T33" s="8">
        <f t="shared" si="5"/>
        <v>49.734993888888923</v>
      </c>
      <c r="U33" s="8">
        <f t="shared" si="5"/>
        <v>44.460014999999977</v>
      </c>
      <c r="V33" s="8">
        <f t="shared" si="5"/>
        <v>38.872906111111106</v>
      </c>
      <c r="W33" s="8">
        <f t="shared" si="5"/>
        <v>32.976648333333351</v>
      </c>
      <c r="X33" s="8">
        <f t="shared" si="5"/>
        <v>5.6009633333333246</v>
      </c>
      <c r="Y33" s="8">
        <f t="shared" si="5"/>
        <v>0</v>
      </c>
      <c r="Z33" s="8">
        <f t="shared" si="5"/>
        <v>-4.4193996857255673</v>
      </c>
      <c r="AB33" s="4" t="s">
        <v>107</v>
      </c>
      <c r="AC33" s="9">
        <f t="shared" si="3"/>
        <v>-0.93074166200916864</v>
      </c>
      <c r="AD33" s="9">
        <f t="shared" si="3"/>
        <v>-0.94405757152496506</v>
      </c>
      <c r="AE33" s="9">
        <f t="shared" si="3"/>
        <v>-0.90616435773631565</v>
      </c>
      <c r="AF33" s="9">
        <f t="shared" si="3"/>
        <v>-0.84113126349231493</v>
      </c>
      <c r="AG33" s="9">
        <f t="shared" si="3"/>
        <v>-0.78307884434855168</v>
      </c>
      <c r="AH33" s="9">
        <f t="shared" si="3"/>
        <v>-0.73176654474953295</v>
      </c>
      <c r="AI33" s="9">
        <f t="shared" si="3"/>
        <v>-0.68554714247288473</v>
      </c>
      <c r="AJ33" s="9">
        <f t="shared" si="3"/>
        <v>-0.64313952640759453</v>
      </c>
      <c r="AK33" s="9">
        <f t="shared" si="3"/>
        <v>-0.6036353632203344</v>
      </c>
      <c r="AL33" s="9">
        <f t="shared" si="3"/>
        <v>-0.56638854179998077</v>
      </c>
      <c r="AM33" s="9">
        <f t="shared" si="3"/>
        <v>-0.53093517325763173</v>
      </c>
      <c r="AN33" s="9">
        <f t="shared" si="3"/>
        <v>-0.49693414648216105</v>
      </c>
    </row>
    <row r="34" spans="1:41">
      <c r="A34" t="s">
        <v>121</v>
      </c>
      <c r="B34" s="4" t="s">
        <v>107</v>
      </c>
      <c r="C34" s="8">
        <f t="shared" ref="C34:Z34" si="6">(C28-$Y28)*t_R_K</f>
        <v>91.452669629629654</v>
      </c>
      <c r="D34" s="8">
        <f t="shared" si="6"/>
        <v>91.361512777777804</v>
      </c>
      <c r="E34" s="8">
        <f t="shared" si="6"/>
        <v>91.088042222222242</v>
      </c>
      <c r="F34" s="8">
        <f t="shared" si="6"/>
        <v>90.53034777777782</v>
      </c>
      <c r="G34" s="8">
        <f t="shared" si="6"/>
        <v>89.654308888888949</v>
      </c>
      <c r="H34" s="8">
        <f t="shared" si="6"/>
        <v>88.460166111111107</v>
      </c>
      <c r="I34" s="8">
        <f t="shared" si="6"/>
        <v>86.949566666666684</v>
      </c>
      <c r="J34" s="8">
        <f t="shared" si="6"/>
        <v>85.123791666666705</v>
      </c>
      <c r="K34" s="8">
        <f t="shared" si="6"/>
        <v>82.98374944444447</v>
      </c>
      <c r="L34" s="8">
        <f t="shared" si="6"/>
        <v>80.530086111111117</v>
      </c>
      <c r="M34" s="8">
        <f t="shared" si="6"/>
        <v>77.763265555555563</v>
      </c>
      <c r="N34" s="8">
        <f t="shared" si="6"/>
        <v>74.683628888888933</v>
      </c>
      <c r="O34" s="8">
        <f t="shared" si="6"/>
        <v>71.291427222222225</v>
      </c>
      <c r="P34" s="8">
        <f t="shared" si="6"/>
        <v>67.586847777777805</v>
      </c>
      <c r="Q34" s="8">
        <f t="shared" si="6"/>
        <v>63.570027777777796</v>
      </c>
      <c r="R34" s="8">
        <f t="shared" si="6"/>
        <v>59.24106888888894</v>
      </c>
      <c r="S34" s="8">
        <f t="shared" si="6"/>
        <v>54.600043333333339</v>
      </c>
      <c r="T34" s="8">
        <f t="shared" si="6"/>
        <v>49.647001666666661</v>
      </c>
      <c r="U34" s="8">
        <f t="shared" si="6"/>
        <v>44.381975000000011</v>
      </c>
      <c r="V34" s="8">
        <f t="shared" si="6"/>
        <v>38.804981666666677</v>
      </c>
      <c r="W34" s="8">
        <f t="shared" si="6"/>
        <v>32.918938888888903</v>
      </c>
      <c r="X34" s="8">
        <f t="shared" si="6"/>
        <v>5.5909566666666581</v>
      </c>
      <c r="Y34" s="8">
        <f t="shared" si="6"/>
        <v>0</v>
      </c>
      <c r="Z34" s="8">
        <f t="shared" si="6"/>
        <v>-4.4097263523922141</v>
      </c>
    </row>
    <row r="35" spans="1:41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41">
      <c r="C36" s="7" t="s">
        <v>122</v>
      </c>
    </row>
    <row r="37" spans="1:41">
      <c r="B37" s="4" t="s">
        <v>119</v>
      </c>
      <c r="C37" s="10">
        <f t="shared" ref="C37:O37" si="7">(C25)*t_ft_m*100</f>
        <v>0</v>
      </c>
      <c r="D37" s="10">
        <f t="shared" si="7"/>
        <v>1.4852917323422801E-2</v>
      </c>
      <c r="E37" s="10">
        <f t="shared" si="7"/>
        <v>3.3212132799357606E-2</v>
      </c>
      <c r="F37" s="10">
        <f t="shared" si="7"/>
        <v>5.3552954999828234E-2</v>
      </c>
      <c r="G37" s="10">
        <f t="shared" si="7"/>
        <v>7.4264586617113867E-2</v>
      </c>
      <c r="H37" s="10">
        <f t="shared" si="7"/>
        <v>9.5105074910194848E-2</v>
      </c>
      <c r="I37" s="10">
        <f t="shared" si="7"/>
        <v>0.11600499271153138</v>
      </c>
      <c r="J37" s="10">
        <f t="shared" si="7"/>
        <v>0.13693713158379225</v>
      </c>
      <c r="K37" s="10">
        <f t="shared" si="7"/>
        <v>0.15788867689247699</v>
      </c>
      <c r="L37" s="10">
        <f t="shared" si="7"/>
        <v>0.17885280872097831</v>
      </c>
      <c r="M37" s="10">
        <f t="shared" si="7"/>
        <v>0.19982556567159876</v>
      </c>
      <c r="N37" s="10">
        <f t="shared" si="7"/>
        <v>0.22080449002824135</v>
      </c>
      <c r="O37" s="10">
        <f t="shared" si="7"/>
        <v>0.24178797643670127</v>
      </c>
      <c r="P37" s="10"/>
    </row>
    <row r="38" spans="1:41">
      <c r="A38" t="s">
        <v>121</v>
      </c>
      <c r="B38" s="4" t="s">
        <v>112</v>
      </c>
      <c r="C38" s="8">
        <f t="shared" ref="C38:Y38" si="8">C31+$Z38-$Z31</f>
        <v>387.28169175344902</v>
      </c>
      <c r="D38" s="8">
        <f t="shared" si="8"/>
        <v>387.203850811113</v>
      </c>
      <c r="E38" s="8">
        <f t="shared" si="8"/>
        <v>386.89248704176879</v>
      </c>
      <c r="F38" s="8">
        <f t="shared" si="8"/>
        <v>386.26975950308037</v>
      </c>
      <c r="G38" s="8">
        <f t="shared" si="8"/>
        <v>385.33566819504773</v>
      </c>
      <c r="H38" s="8">
        <f t="shared" si="8"/>
        <v>384.09021311767083</v>
      </c>
      <c r="I38" s="8">
        <f t="shared" si="8"/>
        <v>382.53339427094977</v>
      </c>
      <c r="J38" s="8">
        <f t="shared" si="8"/>
        <v>380.6652116548845</v>
      </c>
      <c r="K38" s="8">
        <f t="shared" si="8"/>
        <v>378.48566526947502</v>
      </c>
      <c r="L38" s="8">
        <f t="shared" si="8"/>
        <v>375.99475511472127</v>
      </c>
      <c r="M38" s="8">
        <f t="shared" si="8"/>
        <v>373.19248119062337</v>
      </c>
      <c r="N38" s="8">
        <f t="shared" si="8"/>
        <v>370.07884349718131</v>
      </c>
      <c r="O38" s="8">
        <f t="shared" si="8"/>
        <v>366.65384203439493</v>
      </c>
      <c r="P38" s="8">
        <f t="shared" si="8"/>
        <v>362.91747680226439</v>
      </c>
      <c r="Q38" s="8">
        <f t="shared" si="8"/>
        <v>358.86974780078964</v>
      </c>
      <c r="R38" s="8">
        <f t="shared" si="8"/>
        <v>354.51065502997062</v>
      </c>
      <c r="S38" s="8">
        <f t="shared" si="8"/>
        <v>349.84019848980768</v>
      </c>
      <c r="T38" s="8">
        <f t="shared" si="8"/>
        <v>344.85837818030024</v>
      </c>
      <c r="U38" s="8">
        <f t="shared" si="8"/>
        <v>339.56519410144807</v>
      </c>
      <c r="V38" s="8">
        <f t="shared" si="8"/>
        <v>333.96064625325249</v>
      </c>
      <c r="W38" s="8">
        <f t="shared" si="8"/>
        <v>328.08404354352967</v>
      </c>
      <c r="X38" s="8">
        <f t="shared" si="8"/>
        <v>300.71233914024367</v>
      </c>
      <c r="Y38" s="8">
        <f t="shared" si="8"/>
        <v>294.8982804618102</v>
      </c>
      <c r="Z38" s="8">
        <f>5/9*(Z25-32)</f>
        <v>290.93455198094114</v>
      </c>
      <c r="AB38" s="8"/>
      <c r="AC38" s="6" t="s">
        <v>123</v>
      </c>
      <c r="AD38" s="10"/>
      <c r="AE38" s="4"/>
      <c r="AF38" s="4"/>
      <c r="AG38" s="4"/>
      <c r="AH38" s="4"/>
      <c r="AI38" s="4"/>
      <c r="AJ38" s="4"/>
      <c r="AK38" s="4"/>
    </row>
    <row r="39" spans="1:41">
      <c r="A39" t="s">
        <v>121</v>
      </c>
      <c r="B39" s="4" t="s">
        <v>105</v>
      </c>
      <c r="C39" s="8">
        <f t="shared" ref="C39:Y39" si="9">C32+$Z39-$Z32</f>
        <v>386.82637703703705</v>
      </c>
      <c r="D39" s="8">
        <f t="shared" si="9"/>
        <v>386.73518388888891</v>
      </c>
      <c r="E39" s="8">
        <f t="shared" si="9"/>
        <v>386.46160444444445</v>
      </c>
      <c r="F39" s="8">
        <f t="shared" si="9"/>
        <v>385.90368888888889</v>
      </c>
      <c r="G39" s="8">
        <f t="shared" si="9"/>
        <v>385.02730444444444</v>
      </c>
      <c r="H39" s="8">
        <f t="shared" si="9"/>
        <v>383.83269388888891</v>
      </c>
      <c r="I39" s="8">
        <f t="shared" si="9"/>
        <v>382.32150722222224</v>
      </c>
      <c r="J39" s="8">
        <f t="shared" si="9"/>
        <v>380.4950316666667</v>
      </c>
      <c r="K39" s="8">
        <f t="shared" si="9"/>
        <v>378.35417944444441</v>
      </c>
      <c r="L39" s="8">
        <f t="shared" si="9"/>
        <v>375.89960111111111</v>
      </c>
      <c r="M39" s="8">
        <f t="shared" si="9"/>
        <v>373.13176777777784</v>
      </c>
      <c r="N39" s="8">
        <f t="shared" si="9"/>
        <v>370.05102611111113</v>
      </c>
      <c r="O39" s="8">
        <f t="shared" si="9"/>
        <v>366.65763500000003</v>
      </c>
      <c r="P39" s="8">
        <f t="shared" si="9"/>
        <v>362.95178888888893</v>
      </c>
      <c r="Q39" s="8">
        <f t="shared" si="9"/>
        <v>358.9336327777778</v>
      </c>
      <c r="R39" s="8">
        <f t="shared" si="9"/>
        <v>354.60327666666666</v>
      </c>
      <c r="S39" s="8">
        <f t="shared" si="9"/>
        <v>349.96080166666667</v>
      </c>
      <c r="T39" s="8">
        <f t="shared" si="9"/>
        <v>345.00626611111107</v>
      </c>
      <c r="U39" s="8">
        <f t="shared" si="9"/>
        <v>339.73971222222224</v>
      </c>
      <c r="V39" s="8">
        <f t="shared" si="9"/>
        <v>334.16116611111113</v>
      </c>
      <c r="W39" s="8">
        <f t="shared" si="9"/>
        <v>328.27355611111108</v>
      </c>
      <c r="X39" s="8">
        <f t="shared" si="9"/>
        <v>300.93825222222222</v>
      </c>
      <c r="Y39" s="8">
        <f t="shared" si="9"/>
        <v>295.34576000000004</v>
      </c>
      <c r="Z39" s="8">
        <f>5/9*(Z26-32)</f>
        <v>290.93455198094114</v>
      </c>
      <c r="AB39" s="4" t="s">
        <v>105</v>
      </c>
      <c r="AC39" s="21">
        <f t="shared" ref="AC39:AO41" si="10">(C39-C$38)/C$38</f>
        <v>-1.1756680630847856E-3</v>
      </c>
      <c r="AD39" s="21">
        <f t="shared" si="10"/>
        <v>-1.2103880714056084E-3</v>
      </c>
      <c r="AE39" s="21">
        <f t="shared" si="10"/>
        <v>-1.1137011230663251E-3</v>
      </c>
      <c r="AF39" s="21">
        <f t="shared" si="10"/>
        <v>-9.4770715331794514E-4</v>
      </c>
      <c r="AG39" s="21">
        <f t="shared" si="10"/>
        <v>-8.0024709897139621E-4</v>
      </c>
      <c r="AH39" s="21">
        <f t="shared" si="10"/>
        <v>-6.7046547916861947E-4</v>
      </c>
      <c r="AI39" s="21">
        <f t="shared" si="10"/>
        <v>-5.5390470976098027E-4</v>
      </c>
      <c r="AJ39" s="21">
        <f t="shared" si="10"/>
        <v>-4.4705947117669296E-4</v>
      </c>
      <c r="AK39" s="21">
        <f t="shared" si="10"/>
        <v>-3.4739974877778589E-4</v>
      </c>
      <c r="AL39" s="21">
        <f t="shared" si="10"/>
        <v>-2.5307268868984378E-4</v>
      </c>
      <c r="AM39" s="21">
        <f t="shared" si="10"/>
        <v>-1.6268659178725022E-4</v>
      </c>
      <c r="AN39" s="21">
        <f t="shared" si="10"/>
        <v>-7.5166107328139016E-5</v>
      </c>
      <c r="AO39" s="21">
        <f t="shared" si="10"/>
        <v>1.0344813473261663E-5</v>
      </c>
    </row>
    <row r="40" spans="1:41">
      <c r="A40" t="s">
        <v>121</v>
      </c>
      <c r="B40" s="4" t="s">
        <v>106</v>
      </c>
      <c r="C40" s="8">
        <f t="shared" ref="C40:Y40" si="11">C33+$Z40-$Z33</f>
        <v>386.98870907407411</v>
      </c>
      <c r="D40" s="8">
        <f t="shared" si="11"/>
        <v>386.89731611111119</v>
      </c>
      <c r="E40" s="8">
        <f t="shared" si="11"/>
        <v>386.62313722222228</v>
      </c>
      <c r="F40" s="8">
        <f t="shared" si="11"/>
        <v>386.06400222222226</v>
      </c>
      <c r="G40" s="8">
        <f t="shared" si="11"/>
        <v>385.18571166666675</v>
      </c>
      <c r="H40" s="8">
        <f t="shared" si="11"/>
        <v>383.98852055555562</v>
      </c>
      <c r="I40" s="8">
        <f t="shared" si="11"/>
        <v>382.47409944444451</v>
      </c>
      <c r="J40" s="8">
        <f t="shared" si="11"/>
        <v>380.64375833333338</v>
      </c>
      <c r="K40" s="8">
        <f t="shared" si="11"/>
        <v>378.49843666666675</v>
      </c>
      <c r="L40" s="8">
        <f t="shared" si="11"/>
        <v>376.03881388888897</v>
      </c>
      <c r="M40" s="8">
        <f t="shared" si="11"/>
        <v>373.26539388888892</v>
      </c>
      <c r="N40" s="8">
        <f t="shared" si="11"/>
        <v>370.17855944444455</v>
      </c>
      <c r="O40" s="8">
        <f t="shared" si="11"/>
        <v>366.77860777777784</v>
      </c>
      <c r="P40" s="8">
        <f t="shared" si="11"/>
        <v>363.06577388888888</v>
      </c>
      <c r="Q40" s="8">
        <f t="shared" si="11"/>
        <v>359.04024833333341</v>
      </c>
      <c r="R40" s="8">
        <f t="shared" si="11"/>
        <v>354.70218611111113</v>
      </c>
      <c r="S40" s="8">
        <f t="shared" si="11"/>
        <v>350.05171611111115</v>
      </c>
      <c r="T40" s="8">
        <f t="shared" si="11"/>
        <v>345.08894555555565</v>
      </c>
      <c r="U40" s="8">
        <f t="shared" si="11"/>
        <v>339.81396666666672</v>
      </c>
      <c r="V40" s="8">
        <f t="shared" si="11"/>
        <v>334.22685777777781</v>
      </c>
      <c r="W40" s="8">
        <f t="shared" si="11"/>
        <v>328.33060000000006</v>
      </c>
      <c r="X40" s="8">
        <f t="shared" si="11"/>
        <v>300.95491500000003</v>
      </c>
      <c r="Y40" s="8">
        <f t="shared" si="11"/>
        <v>295.35395166666672</v>
      </c>
      <c r="Z40" s="8">
        <f>5/9*(Z27-32)</f>
        <v>290.93455198094114</v>
      </c>
      <c r="AB40" s="4" t="s">
        <v>106</v>
      </c>
      <c r="AC40" s="21">
        <f t="shared" si="10"/>
        <v>-7.5651053384014381E-4</v>
      </c>
      <c r="AD40" s="21">
        <f t="shared" si="10"/>
        <v>-7.9166232298485007E-4</v>
      </c>
      <c r="AE40" s="21">
        <f t="shared" si="10"/>
        <v>-6.9618777455718978E-4</v>
      </c>
      <c r="AF40" s="21">
        <f t="shared" si="10"/>
        <v>-5.326776839139738E-4</v>
      </c>
      <c r="AG40" s="21">
        <f t="shared" si="10"/>
        <v>-3.8915818274335952E-4</v>
      </c>
      <c r="AH40" s="21">
        <f t="shared" si="10"/>
        <v>-2.6476217993101864E-4</v>
      </c>
      <c r="AI40" s="21">
        <f t="shared" si="10"/>
        <v>-1.5500562145240261E-4</v>
      </c>
      <c r="AJ40" s="21">
        <f t="shared" si="10"/>
        <v>-5.6357452412990232E-5</v>
      </c>
      <c r="AK40" s="21">
        <f t="shared" si="10"/>
        <v>3.3743410553301586E-5</v>
      </c>
      <c r="AL40" s="21">
        <f t="shared" si="10"/>
        <v>1.1717922542364199E-4</v>
      </c>
      <c r="AM40" s="21">
        <f t="shared" si="10"/>
        <v>1.9537558214714193E-4</v>
      </c>
      <c r="AN40" s="21">
        <f t="shared" si="10"/>
        <v>2.6944514396158456E-4</v>
      </c>
      <c r="AO40" s="21">
        <f t="shared" si="10"/>
        <v>3.4028211102504974E-4</v>
      </c>
    </row>
    <row r="41" spans="1:41">
      <c r="A41" t="s">
        <v>121</v>
      </c>
      <c r="B41" s="4" t="s">
        <v>107</v>
      </c>
      <c r="C41" s="8">
        <f t="shared" ref="C41:Y41" si="12">C34+$Z41-$Z34</f>
        <v>386.79694796296303</v>
      </c>
      <c r="D41" s="8">
        <f t="shared" si="12"/>
        <v>386.70579111111118</v>
      </c>
      <c r="E41" s="8">
        <f t="shared" si="12"/>
        <v>386.43232055555563</v>
      </c>
      <c r="F41" s="8">
        <f t="shared" si="12"/>
        <v>385.87462611111118</v>
      </c>
      <c r="G41" s="8">
        <f t="shared" si="12"/>
        <v>384.99858722222234</v>
      </c>
      <c r="H41" s="8">
        <f t="shared" si="12"/>
        <v>383.80444444444447</v>
      </c>
      <c r="I41" s="8">
        <f t="shared" si="12"/>
        <v>382.29384500000003</v>
      </c>
      <c r="J41" s="8">
        <f t="shared" si="12"/>
        <v>380.46807000000007</v>
      </c>
      <c r="K41" s="8">
        <f t="shared" si="12"/>
        <v>378.32802777777783</v>
      </c>
      <c r="L41" s="8">
        <f t="shared" si="12"/>
        <v>375.8743644444445</v>
      </c>
      <c r="M41" s="8">
        <f t="shared" si="12"/>
        <v>373.10754388888893</v>
      </c>
      <c r="N41" s="8">
        <f t="shared" si="12"/>
        <v>370.02790722222232</v>
      </c>
      <c r="O41" s="8">
        <f t="shared" si="12"/>
        <v>366.6357055555556</v>
      </c>
      <c r="P41" s="8">
        <f t="shared" si="12"/>
        <v>362.93112611111115</v>
      </c>
      <c r="Q41" s="8">
        <f t="shared" si="12"/>
        <v>358.91430611111116</v>
      </c>
      <c r="R41" s="8">
        <f t="shared" si="12"/>
        <v>354.58534722222231</v>
      </c>
      <c r="S41" s="8">
        <f t="shared" si="12"/>
        <v>349.94432166666672</v>
      </c>
      <c r="T41" s="8">
        <f t="shared" si="12"/>
        <v>344.99128000000002</v>
      </c>
      <c r="U41" s="8">
        <f t="shared" si="12"/>
        <v>339.72625333333337</v>
      </c>
      <c r="V41" s="8">
        <f t="shared" si="12"/>
        <v>334.14926000000003</v>
      </c>
      <c r="W41" s="8">
        <f t="shared" si="12"/>
        <v>328.26321722222224</v>
      </c>
      <c r="X41" s="8">
        <f t="shared" si="12"/>
        <v>300.93523500000003</v>
      </c>
      <c r="Y41" s="8">
        <f t="shared" si="12"/>
        <v>295.34427833333336</v>
      </c>
      <c r="Z41" s="8">
        <f>5/9*(Z28-32)</f>
        <v>290.93455198094114</v>
      </c>
      <c r="AB41" s="4" t="s">
        <v>107</v>
      </c>
      <c r="AC41" s="21">
        <f t="shared" si="10"/>
        <v>-1.2516568709749136E-3</v>
      </c>
      <c r="AD41" s="21">
        <f t="shared" si="10"/>
        <v>-1.2862984160887979E-3</v>
      </c>
      <c r="AE41" s="21">
        <f t="shared" si="10"/>
        <v>-1.1893911141352166E-3</v>
      </c>
      <c r="AF41" s="21">
        <f t="shared" si="10"/>
        <v>-1.0229467418767244E-3</v>
      </c>
      <c r="AG41" s="21">
        <f t="shared" si="10"/>
        <v>-8.7477231060470613E-4</v>
      </c>
      <c r="AH41" s="21">
        <f t="shared" si="10"/>
        <v>-7.4401446188062216E-4</v>
      </c>
      <c r="AI41" s="21">
        <f t="shared" si="10"/>
        <v>-6.262179316560895E-4</v>
      </c>
      <c r="AJ41" s="21">
        <f t="shared" si="10"/>
        <v>-5.1788723752136312E-4</v>
      </c>
      <c r="AK41" s="21">
        <f t="shared" si="10"/>
        <v>-4.1649527620802267E-4</v>
      </c>
      <c r="AL41" s="21">
        <f t="shared" si="10"/>
        <v>-3.2019241928000797E-4</v>
      </c>
      <c r="AM41" s="21">
        <f t="shared" si="10"/>
        <v>-2.2759649782723437E-4</v>
      </c>
      <c r="AN41" s="21">
        <f t="shared" si="10"/>
        <v>-1.3763627900921442E-4</v>
      </c>
      <c r="AO41" s="21">
        <f t="shared" si="10"/>
        <v>-4.9464854203334815E-5</v>
      </c>
    </row>
    <row r="42" spans="1:41">
      <c r="Q42" s="4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4" spans="1:41">
      <c r="A44">
        <v>0</v>
      </c>
      <c r="B44" s="12">
        <v>4.8729883837070098E-4</v>
      </c>
      <c r="C44" s="12">
        <v>1.0896333279535699E-3</v>
      </c>
      <c r="D44" s="12">
        <v>1.7569809482196001E-3</v>
      </c>
      <c r="E44" s="12">
        <v>2.4364941918535001E-3</v>
      </c>
      <c r="F44" s="12">
        <v>3.1202350028443101E-3</v>
      </c>
      <c r="G44" s="12">
        <v>3.80592559445446E-3</v>
      </c>
      <c r="H44" s="12">
        <v>4.4926733043458601E-3</v>
      </c>
      <c r="I44" s="12">
        <v>5.1800577062567701E-3</v>
      </c>
      <c r="J44" s="12">
        <v>5.86785505037642E-3</v>
      </c>
      <c r="K44" s="12">
        <v>6.5559353700151502E-3</v>
      </c>
      <c r="L44" s="12">
        <v>7.2442180317072898E-3</v>
      </c>
      <c r="M44" s="12">
        <v>7.93265036652443E-3</v>
      </c>
      <c r="N44" s="12">
        <v>8.6211965187923296E-3</v>
      </c>
      <c r="O44" s="12">
        <v>9.3098312350581094E-3</v>
      </c>
      <c r="P44" s="12">
        <v>9.9985362161868502E-3</v>
      </c>
      <c r="Q44" s="12">
        <v>1.0687297878278001E-2</v>
      </c>
      <c r="R44" s="12">
        <v>1.1376105926159501E-2</v>
      </c>
      <c r="S44" s="12">
        <v>1.2064952415110001E-2</v>
      </c>
      <c r="T44" s="12">
        <v>1.2753831116415299E-2</v>
      </c>
      <c r="U44" s="12">
        <v>1.3438320209973801E-2</v>
      </c>
      <c r="V44" s="12">
        <v>1.3713910761154901E-2</v>
      </c>
      <c r="W44" s="12">
        <v>1.55839895013123E-2</v>
      </c>
    </row>
    <row r="45" spans="1:41">
      <c r="C45" s="4"/>
      <c r="D45" s="4" t="s">
        <v>124</v>
      </c>
    </row>
    <row r="46" spans="1:41">
      <c r="A46" s="20">
        <v>728.12333100000001</v>
      </c>
      <c r="B46" s="8">
        <v>727.63088800000003</v>
      </c>
      <c r="C46" s="8">
        <v>726.62663999999995</v>
      </c>
      <c r="D46" s="8">
        <v>725.04914799999995</v>
      </c>
      <c r="E46" s="8">
        <v>722.89884900000004</v>
      </c>
      <c r="F46" s="8">
        <v>720.17871300000002</v>
      </c>
      <c r="G46" s="8">
        <v>716.89105700000005</v>
      </c>
      <c r="H46" s="8">
        <v>713.03752299999996</v>
      </c>
      <c r="I46" s="8">
        <v>708.619282</v>
      </c>
      <c r="J46" s="8">
        <v>703.63718200000005</v>
      </c>
      <c r="K46" s="8">
        <v>698.09184700000003</v>
      </c>
      <c r="L46" s="8">
        <v>691.983743</v>
      </c>
      <c r="M46" s="8">
        <v>685.31322</v>
      </c>
      <c r="N46" s="8">
        <v>678.08053900000004</v>
      </c>
      <c r="O46" s="8">
        <v>670.28589799999997</v>
      </c>
      <c r="P46" s="8">
        <v>661.92944299999999</v>
      </c>
      <c r="Q46">
        <v>653.01127899999994</v>
      </c>
      <c r="R46">
        <v>643.53148199999998</v>
      </c>
      <c r="S46">
        <v>633.49009899999999</v>
      </c>
      <c r="T46">
        <v>622.89240099999995</v>
      </c>
      <c r="U46">
        <v>573.68885399999999</v>
      </c>
      <c r="V46">
        <v>563.62236800000005</v>
      </c>
    </row>
    <row r="47" spans="1:41">
      <c r="A47" s="19">
        <v>728.41516899999999</v>
      </c>
      <c r="B47">
        <v>727.92164700000001</v>
      </c>
      <c r="C47">
        <v>726.91520400000002</v>
      </c>
      <c r="D47">
        <v>725.33428100000003</v>
      </c>
      <c r="E47">
        <v>723.17933700000003</v>
      </c>
      <c r="F47">
        <v>720.45337900000004</v>
      </c>
      <c r="G47">
        <v>717.15876500000002</v>
      </c>
      <c r="H47">
        <v>713.29718600000001</v>
      </c>
      <c r="I47">
        <v>708.869865</v>
      </c>
      <c r="J47">
        <v>703.87770899999998</v>
      </c>
      <c r="K47">
        <v>698.32140700000002</v>
      </c>
      <c r="L47">
        <v>692.20149400000003</v>
      </c>
      <c r="M47">
        <v>685.51839299999995</v>
      </c>
      <c r="N47">
        <v>678.27244700000006</v>
      </c>
      <c r="O47">
        <v>670.46393499999999</v>
      </c>
      <c r="P47">
        <v>662.09308899999996</v>
      </c>
      <c r="Q47">
        <v>653.16010200000005</v>
      </c>
      <c r="R47">
        <v>643.66513999999995</v>
      </c>
      <c r="S47">
        <v>633.60834399999999</v>
      </c>
      <c r="T47">
        <v>622.99508000000003</v>
      </c>
      <c r="U47">
        <v>573.71884699999998</v>
      </c>
      <c r="V47">
        <v>563.637113</v>
      </c>
    </row>
    <row r="48" spans="1:41">
      <c r="A48" s="20">
        <v>728.070424</v>
      </c>
      <c r="B48">
        <v>727.57817699999998</v>
      </c>
      <c r="C48">
        <v>726.57432700000004</v>
      </c>
      <c r="D48">
        <v>724.99745700000005</v>
      </c>
      <c r="E48">
        <v>722.84799999999996</v>
      </c>
      <c r="F48">
        <v>720.12892099999999</v>
      </c>
      <c r="G48">
        <v>716.84252600000002</v>
      </c>
      <c r="H48">
        <v>712.99045000000001</v>
      </c>
      <c r="I48">
        <v>708.57385599999998</v>
      </c>
      <c r="J48">
        <v>703.59357899999998</v>
      </c>
      <c r="K48">
        <v>698.05023300000005</v>
      </c>
      <c r="L48">
        <v>691.94426999999996</v>
      </c>
      <c r="M48">
        <v>685.276027</v>
      </c>
      <c r="N48">
        <v>678.045751</v>
      </c>
      <c r="O48">
        <v>670.25362500000006</v>
      </c>
      <c r="P48">
        <v>661.89977899999997</v>
      </c>
      <c r="Q48">
        <v>652.98430399999995</v>
      </c>
      <c r="R48">
        <v>643.50725599999998</v>
      </c>
      <c r="S48">
        <v>633.46866799999998</v>
      </c>
      <c r="T48">
        <v>622.87379099999998</v>
      </c>
      <c r="U48">
        <v>573.68342299999995</v>
      </c>
      <c r="V48">
        <v>563.61970099999996</v>
      </c>
    </row>
  </sheetData>
  <mergeCells count="1">
    <mergeCell ref="B1:E2"/>
  </mergeCells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20"/>
  <sheetViews>
    <sheetView zoomScale="90" zoomScaleNormal="90" zoomScalePageLayoutView="90" workbookViewId="0">
      <selection activeCell="F15" sqref="F15"/>
    </sheetView>
  </sheetViews>
  <sheetFormatPr baseColWidth="10" defaultColWidth="8.83203125" defaultRowHeight="12" x14ac:dyDescent="0"/>
  <sheetData>
    <row r="7" spans="4:18">
      <c r="E7" s="4"/>
      <c r="F7" s="2" t="s">
        <v>125</v>
      </c>
      <c r="G7" s="2"/>
      <c r="H7" s="2"/>
      <c r="I7" s="2"/>
      <c r="K7" s="1" t="s">
        <v>126</v>
      </c>
      <c r="L7" s="1"/>
      <c r="M7" s="1"/>
    </row>
    <row r="8" spans="4:18">
      <c r="E8" s="4" t="s">
        <v>127</v>
      </c>
      <c r="F8" s="4" t="s">
        <v>128</v>
      </c>
      <c r="G8" s="4" t="s">
        <v>105</v>
      </c>
      <c r="H8" s="4" t="s">
        <v>106</v>
      </c>
      <c r="I8" s="4" t="s">
        <v>107</v>
      </c>
      <c r="J8" s="4" t="s">
        <v>127</v>
      </c>
      <c r="K8" s="22" t="s">
        <v>105</v>
      </c>
      <c r="L8" s="22" t="s">
        <v>106</v>
      </c>
      <c r="M8" s="22" t="s">
        <v>107</v>
      </c>
      <c r="O8" s="4" t="s">
        <v>127</v>
      </c>
      <c r="P8" s="22" t="s">
        <v>105</v>
      </c>
      <c r="Q8" s="22" t="s">
        <v>106</v>
      </c>
      <c r="R8" s="22" t="s">
        <v>107</v>
      </c>
    </row>
    <row r="9" spans="4:18">
      <c r="D9">
        <v>6</v>
      </c>
      <c r="E9" s="4">
        <v>5</v>
      </c>
      <c r="F9" s="8">
        <f>'SS Rod Radial Profile_10'!C31</f>
        <v>92.383411291638822</v>
      </c>
      <c r="G9" s="8">
        <f>'SS Rod Radial Profile_5'!C32</f>
        <v>88.266274629629606</v>
      </c>
      <c r="H9">
        <f>'SS Rod Radial Profile_5'!C33</f>
        <v>88.448237037036961</v>
      </c>
      <c r="I9">
        <f>'SS Rod Radial Profile_5'!C34</f>
        <v>88.235733518518558</v>
      </c>
      <c r="J9" s="4">
        <v>5</v>
      </c>
      <c r="K9" s="23">
        <f t="shared" ref="K9:M11" si="0">ABS(G9-$F9)/$F9</f>
        <v>4.4565757038480758E-2</v>
      </c>
      <c r="L9" s="23">
        <f t="shared" si="0"/>
        <v>4.2596113301977788E-2</v>
      </c>
      <c r="M9" s="23">
        <f t="shared" si="0"/>
        <v>4.4896347895476023E-2</v>
      </c>
      <c r="O9" s="4">
        <f t="shared" ref="O9:R11" si="1">LN(J9)</f>
        <v>1.6094379124341003</v>
      </c>
      <c r="P9">
        <f t="shared" si="1"/>
        <v>-3.1107894942559398</v>
      </c>
      <c r="Q9">
        <f t="shared" si="1"/>
        <v>-3.1559922669119396</v>
      </c>
      <c r="R9">
        <f t="shared" si="1"/>
        <v>-3.103398826172918</v>
      </c>
    </row>
    <row r="10" spans="4:18">
      <c r="D10">
        <v>12</v>
      </c>
      <c r="E10" s="4">
        <v>10</v>
      </c>
      <c r="F10" s="8">
        <f>F9</f>
        <v>92.383411291638822</v>
      </c>
      <c r="G10" s="8">
        <f>'SS Rod Radial Profile_10'!C32</f>
        <v>90.474413148148187</v>
      </c>
      <c r="H10">
        <f>'SS Rod Radial Profile_10'!C33</f>
        <v>90.635888703703756</v>
      </c>
      <c r="I10">
        <f>'SS Rod Radial Profile_10'!C34</f>
        <v>90.445768148148133</v>
      </c>
      <c r="J10" s="4">
        <v>10</v>
      </c>
      <c r="K10" s="23">
        <f t="shared" si="0"/>
        <v>2.0663862881878763E-2</v>
      </c>
      <c r="L10" s="23">
        <f t="shared" si="0"/>
        <v>1.8915978133979404E-2</v>
      </c>
      <c r="M10" s="23">
        <f t="shared" si="0"/>
        <v>2.0973929371084568E-2</v>
      </c>
      <c r="O10" s="4">
        <f t="shared" si="1"/>
        <v>2.3025850929940459</v>
      </c>
      <c r="P10">
        <f t="shared" si="1"/>
        <v>-3.879368858814622</v>
      </c>
      <c r="Q10">
        <f t="shared" si="1"/>
        <v>-3.9677483101548972</v>
      </c>
      <c r="R10">
        <f t="shared" si="1"/>
        <v>-3.8644750710265057</v>
      </c>
    </row>
    <row r="11" spans="4:18">
      <c r="D11">
        <v>48</v>
      </c>
      <c r="E11" s="4">
        <v>20</v>
      </c>
      <c r="F11" s="8">
        <f>F10</f>
        <v>92.383411291638822</v>
      </c>
      <c r="G11" s="8">
        <f>'SS Rod Radial Profile_20'!C32</f>
        <v>91.480617037036993</v>
      </c>
      <c r="H11">
        <f>'SS Rod Radial Profile_20'!C34</f>
        <v>91.452669629629654</v>
      </c>
      <c r="I11">
        <f>'SS Rod Radial Profile_20'!C34</f>
        <v>91.452669629629654</v>
      </c>
      <c r="J11" s="4">
        <v>20</v>
      </c>
      <c r="K11" s="23">
        <f t="shared" si="0"/>
        <v>9.7722550182939294E-3</v>
      </c>
      <c r="L11" s="23">
        <f t="shared" si="0"/>
        <v>1.0074770448462597E-2</v>
      </c>
      <c r="M11" s="23">
        <f t="shared" si="0"/>
        <v>1.0074770448462597E-2</v>
      </c>
      <c r="O11" s="4">
        <f t="shared" si="1"/>
        <v>2.9957322735539909</v>
      </c>
      <c r="P11">
        <f t="shared" si="1"/>
        <v>-4.6282080290898762</v>
      </c>
      <c r="Q11">
        <f t="shared" si="1"/>
        <v>-4.597720955680658</v>
      </c>
      <c r="R11">
        <f t="shared" si="1"/>
        <v>-4.597720955680658</v>
      </c>
    </row>
    <row r="12" spans="4:18">
      <c r="E12" s="4"/>
      <c r="F12" s="8"/>
      <c r="G12" s="8"/>
    </row>
    <row r="15" spans="4:18">
      <c r="F15" s="4"/>
    </row>
    <row r="16" spans="4:18">
      <c r="F16" s="4"/>
      <c r="L16" s="24"/>
      <c r="M16" s="4"/>
    </row>
    <row r="17" spans="6:18">
      <c r="F17" s="4"/>
      <c r="G17" s="4"/>
      <c r="H17" s="4"/>
      <c r="I17" s="4"/>
      <c r="J17" s="4"/>
      <c r="K17" s="4"/>
      <c r="L17" s="4"/>
      <c r="M17" s="4"/>
    </row>
    <row r="18" spans="6:18">
      <c r="F18" s="4"/>
      <c r="G18" s="8"/>
      <c r="H18" s="8"/>
      <c r="I18" s="4"/>
      <c r="J18" s="4"/>
      <c r="K18" s="4"/>
      <c r="L18" s="4"/>
      <c r="M18" s="4"/>
    </row>
    <row r="19" spans="6:18">
      <c r="F19" s="4"/>
      <c r="G19" s="8"/>
      <c r="H19" s="8"/>
      <c r="I19" s="4"/>
      <c r="J19" s="4"/>
      <c r="K19" s="22" t="s">
        <v>105</v>
      </c>
      <c r="L19" s="22" t="s">
        <v>106</v>
      </c>
      <c r="M19" s="22" t="s">
        <v>107</v>
      </c>
    </row>
    <row r="20" spans="6:18">
      <c r="F20" s="4"/>
      <c r="G20" s="8"/>
      <c r="H20" s="8"/>
      <c r="I20" s="4"/>
      <c r="J20" t="s">
        <v>129</v>
      </c>
      <c r="K20">
        <f>LN((K11-K10)/(K10-K9))/LN(0.5)</f>
        <v>1.1339080058792332</v>
      </c>
      <c r="L20">
        <f>LN((L11-L10)/(L10-L9))/LN(0.5)</f>
        <v>1.4213619594968923</v>
      </c>
      <c r="M20">
        <f>LN((M11-M10)/(M10-M9))/LN(0.5)</f>
        <v>1.1341464435010513</v>
      </c>
      <c r="P20">
        <f>SLOPE(P9:P11,$O9:$O11)</f>
        <v>-1.0945860975789583</v>
      </c>
      <c r="Q20">
        <f>SLOPE(Q9:Q11,$O9:$O11)</f>
        <v>-1.039987414796989</v>
      </c>
      <c r="R20">
        <f>SLOPE(R9:R11,$O9:$O11)</f>
        <v>-1.0779255628657261</v>
      </c>
    </row>
  </sheetData>
  <mergeCells count="2">
    <mergeCell ref="F7:I7"/>
    <mergeCell ref="K7:M7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423702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Problem_Setup</vt:lpstr>
      <vt:lpstr>SS Rod Radial Profile_5</vt:lpstr>
      <vt:lpstr>SS Rod Radial Profile_10</vt:lpstr>
      <vt:lpstr>SS Rod Radial Profile_20</vt:lpstr>
      <vt:lpstr>Fuel_Centerline_Temperature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Dances</cp:lastModifiedBy>
  <cp:revision>698</cp:revision>
  <dcterms:created xsi:type="dcterms:W3CDTF">2015-03-08T19:04:55Z</dcterms:created>
  <dcterms:modified xsi:type="dcterms:W3CDTF">2015-03-23T17:55:52Z</dcterms:modified>
  <dc:language>en-US</dc:language>
</cp:coreProperties>
</file>