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2100" windowHeight="14860" tabRatio="628" firstSheet="2" activeTab="4"/>
  </bookViews>
  <sheets>
    <sheet name="Problem_Setup" sheetId="1" r:id="rId1"/>
    <sheet name="SS Rod Radial Profile_5" sheetId="2" r:id="rId2"/>
    <sheet name="SS Rod Radial Profile_10" sheetId="3" r:id="rId3"/>
    <sheet name="SS Rod Radial Profile_20" sheetId="4" r:id="rId4"/>
    <sheet name="Fuel_Centerline_Temperature" sheetId="5" r:id="rId5"/>
  </sheets>
  <definedNames>
    <definedName name="A_surf">Problem_Setup!$D$13</definedName>
    <definedName name="cp_in">Problem_Setup!$D$34</definedName>
    <definedName name="delta_clad">Problem_Setup!$H$34</definedName>
    <definedName name="delta_fluid">Problem_Setup!$H$35</definedName>
    <definedName name="delta_gap">Problem_Setup!$H$33</definedName>
    <definedName name="dT_clad">Problem_Setup!$H$34</definedName>
    <definedName name="dT_gap">Problem_Setup!$H$34</definedName>
    <definedName name="dz">Problem_Setup!$D$7</definedName>
    <definedName name="heat_gen">Problem_Setup!$D$26</definedName>
    <definedName name="hgap">Problem_Setup!$H$10</definedName>
    <definedName name="htc">Problem_Setup!$H$23</definedName>
    <definedName name="k_clad">Problem_Setup!$H$5</definedName>
    <definedName name="k_fuel">Problem_Setup!$H$4</definedName>
    <definedName name="L_chan">Problem_Setup!$D$6</definedName>
    <definedName name="M_dot">Problem_Setup!$D$30</definedName>
    <definedName name="Naxial">Problem_Setup!$D$5</definedName>
    <definedName name="q_dot">Problem_Setup!$D$25</definedName>
    <definedName name="q_lin">Problem_Setup!$D$23</definedName>
    <definedName name="R_fuel">Problem_Setup!$D$9</definedName>
    <definedName name="R_rod">Problem_Setup!$D$8</definedName>
    <definedName name="Rho_fuel">Problem_Setup!$H$6</definedName>
    <definedName name="t_btu_kw">Problem_Setup!$N$5</definedName>
    <definedName name="t_ft_m">Problem_Setup!$N$6</definedName>
    <definedName name="t_gap">Problem_Setup!$H$34</definedName>
    <definedName name="t_htc">Problem_Setup!$N$8</definedName>
    <definedName name="t_in">Problem_Setup!$D$32</definedName>
    <definedName name="t_R_K">Problem_Setup!$N$7</definedName>
    <definedName name="vol_fuel">Problem_Setup!$D$17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5" l="1"/>
  <c r="L9" i="5"/>
  <c r="C26" i="2"/>
  <c r="C31" i="2"/>
  <c r="H28" i="1"/>
  <c r="K10" i="5"/>
  <c r="K11" i="5"/>
  <c r="K9" i="5"/>
  <c r="C28" i="4"/>
  <c r="N7" i="1"/>
  <c r="C34" i="4"/>
  <c r="I11" i="5"/>
  <c r="F10" i="5"/>
  <c r="F11" i="5"/>
  <c r="N11" i="5"/>
  <c r="H11" i="5"/>
  <c r="M11" i="5"/>
  <c r="C26" i="4"/>
  <c r="C32" i="4"/>
  <c r="G11" i="5"/>
  <c r="L11" i="5"/>
  <c r="C28" i="3"/>
  <c r="C34" i="3"/>
  <c r="I10" i="5"/>
  <c r="N10" i="5"/>
  <c r="C27" i="3"/>
  <c r="C33" i="3"/>
  <c r="H10" i="5"/>
  <c r="M10" i="5"/>
  <c r="C26" i="3"/>
  <c r="C32" i="3"/>
  <c r="G10" i="5"/>
  <c r="L10" i="5"/>
  <c r="C28" i="2"/>
  <c r="C34" i="2"/>
  <c r="I9" i="5"/>
  <c r="N9" i="5"/>
  <c r="C27" i="2"/>
  <c r="C33" i="2"/>
  <c r="H9" i="5"/>
  <c r="M9" i="5"/>
  <c r="C32" i="2"/>
  <c r="G9" i="5"/>
  <c r="O34" i="4"/>
  <c r="D7" i="1"/>
  <c r="Z25" i="4"/>
  <c r="Z26" i="4"/>
  <c r="Z27" i="4"/>
  <c r="Z28" i="4"/>
  <c r="AA41" i="4"/>
  <c r="AA34" i="4"/>
  <c r="O41" i="4"/>
  <c r="D9" i="1"/>
  <c r="D25" i="1"/>
  <c r="O30" i="4"/>
  <c r="H33" i="1"/>
  <c r="D8" i="1"/>
  <c r="D10" i="1"/>
  <c r="H29" i="1"/>
  <c r="H34" i="1"/>
  <c r="O31" i="4"/>
  <c r="AA38" i="4"/>
  <c r="O30" i="3"/>
  <c r="D13" i="1"/>
  <c r="N8" i="1"/>
  <c r="H23" i="1"/>
  <c r="H30" i="1"/>
  <c r="H35" i="1"/>
  <c r="AA31" i="4"/>
  <c r="O38" i="4"/>
  <c r="AO41" i="4"/>
  <c r="N34" i="4"/>
  <c r="N41" i="4"/>
  <c r="N30" i="4"/>
  <c r="N31" i="4"/>
  <c r="N38" i="4"/>
  <c r="AN41" i="4"/>
  <c r="M34" i="4"/>
  <c r="M41" i="4"/>
  <c r="M30" i="4"/>
  <c r="M31" i="4"/>
  <c r="M38" i="4"/>
  <c r="AM41" i="4"/>
  <c r="L34" i="4"/>
  <c r="L41" i="4"/>
  <c r="L30" i="4"/>
  <c r="L31" i="4"/>
  <c r="L38" i="4"/>
  <c r="AL41" i="4"/>
  <c r="K34" i="4"/>
  <c r="K41" i="4"/>
  <c r="K30" i="4"/>
  <c r="K31" i="4"/>
  <c r="K38" i="4"/>
  <c r="AK41" i="4"/>
  <c r="J34" i="4"/>
  <c r="J41" i="4"/>
  <c r="J30" i="4"/>
  <c r="J31" i="4"/>
  <c r="J38" i="4"/>
  <c r="AJ41" i="4"/>
  <c r="I34" i="4"/>
  <c r="I41" i="4"/>
  <c r="I30" i="4"/>
  <c r="I31" i="4"/>
  <c r="I38" i="4"/>
  <c r="AI41" i="4"/>
  <c r="H34" i="4"/>
  <c r="H41" i="4"/>
  <c r="H30" i="4"/>
  <c r="H31" i="4"/>
  <c r="H38" i="4"/>
  <c r="AH41" i="4"/>
  <c r="G34" i="4"/>
  <c r="G41" i="4"/>
  <c r="G30" i="4"/>
  <c r="G31" i="4"/>
  <c r="G38" i="4"/>
  <c r="AG41" i="4"/>
  <c r="F34" i="4"/>
  <c r="F41" i="4"/>
  <c r="F30" i="4"/>
  <c r="F31" i="4"/>
  <c r="F38" i="4"/>
  <c r="AF41" i="4"/>
  <c r="E34" i="4"/>
  <c r="E41" i="4"/>
  <c r="E30" i="4"/>
  <c r="E31" i="4"/>
  <c r="E38" i="4"/>
  <c r="AE41" i="4"/>
  <c r="D34" i="4"/>
  <c r="D41" i="4"/>
  <c r="D30" i="4"/>
  <c r="D31" i="4"/>
  <c r="D38" i="4"/>
  <c r="AD41" i="4"/>
  <c r="C41" i="4"/>
  <c r="C30" i="4"/>
  <c r="C31" i="4"/>
  <c r="C38" i="4"/>
  <c r="AC41" i="4"/>
  <c r="Y34" i="4"/>
  <c r="Y41" i="4"/>
  <c r="X34" i="4"/>
  <c r="X41" i="4"/>
  <c r="W34" i="4"/>
  <c r="W41" i="4"/>
  <c r="V34" i="4"/>
  <c r="V41" i="4"/>
  <c r="U34" i="4"/>
  <c r="U41" i="4"/>
  <c r="T34" i="4"/>
  <c r="T41" i="4"/>
  <c r="S34" i="4"/>
  <c r="S41" i="4"/>
  <c r="R34" i="4"/>
  <c r="R41" i="4"/>
  <c r="Q34" i="4"/>
  <c r="Q41" i="4"/>
  <c r="P34" i="4"/>
  <c r="P41" i="4"/>
  <c r="O33" i="4"/>
  <c r="AA40" i="4"/>
  <c r="AA33" i="4"/>
  <c r="O40" i="4"/>
  <c r="AO40" i="4"/>
  <c r="N33" i="4"/>
  <c r="N40" i="4"/>
  <c r="AN40" i="4"/>
  <c r="M33" i="4"/>
  <c r="M40" i="4"/>
  <c r="AM40" i="4"/>
  <c r="L33" i="4"/>
  <c r="L40" i="4"/>
  <c r="AL40" i="4"/>
  <c r="K33" i="4"/>
  <c r="K40" i="4"/>
  <c r="AK40" i="4"/>
  <c r="J33" i="4"/>
  <c r="J40" i="4"/>
  <c r="AJ40" i="4"/>
  <c r="I33" i="4"/>
  <c r="I40" i="4"/>
  <c r="AI40" i="4"/>
  <c r="H33" i="4"/>
  <c r="H40" i="4"/>
  <c r="AH40" i="4"/>
  <c r="G33" i="4"/>
  <c r="G40" i="4"/>
  <c r="AG40" i="4"/>
  <c r="F33" i="4"/>
  <c r="F40" i="4"/>
  <c r="AF40" i="4"/>
  <c r="E33" i="4"/>
  <c r="E40" i="4"/>
  <c r="AE40" i="4"/>
  <c r="D33" i="4"/>
  <c r="D40" i="4"/>
  <c r="AD40" i="4"/>
  <c r="C27" i="4"/>
  <c r="C33" i="4"/>
  <c r="C40" i="4"/>
  <c r="AC40" i="4"/>
  <c r="Y33" i="4"/>
  <c r="Y40" i="4"/>
  <c r="X33" i="4"/>
  <c r="X40" i="4"/>
  <c r="W33" i="4"/>
  <c r="W40" i="4"/>
  <c r="V33" i="4"/>
  <c r="V40" i="4"/>
  <c r="U33" i="4"/>
  <c r="U40" i="4"/>
  <c r="T33" i="4"/>
  <c r="T40" i="4"/>
  <c r="S33" i="4"/>
  <c r="S40" i="4"/>
  <c r="R33" i="4"/>
  <c r="R40" i="4"/>
  <c r="Q33" i="4"/>
  <c r="Q40" i="4"/>
  <c r="P33" i="4"/>
  <c r="P40" i="4"/>
  <c r="O32" i="4"/>
  <c r="AA39" i="4"/>
  <c r="AA32" i="4"/>
  <c r="O39" i="4"/>
  <c r="AO39" i="4"/>
  <c r="N32" i="4"/>
  <c r="N39" i="4"/>
  <c r="AN39" i="4"/>
  <c r="M32" i="4"/>
  <c r="M39" i="4"/>
  <c r="AM39" i="4"/>
  <c r="L32" i="4"/>
  <c r="L39" i="4"/>
  <c r="AL39" i="4"/>
  <c r="K32" i="4"/>
  <c r="K39" i="4"/>
  <c r="AK39" i="4"/>
  <c r="J32" i="4"/>
  <c r="J39" i="4"/>
  <c r="AJ39" i="4"/>
  <c r="I32" i="4"/>
  <c r="I39" i="4"/>
  <c r="AI39" i="4"/>
  <c r="H32" i="4"/>
  <c r="H39" i="4"/>
  <c r="AH39" i="4"/>
  <c r="G32" i="4"/>
  <c r="G39" i="4"/>
  <c r="AG39" i="4"/>
  <c r="F32" i="4"/>
  <c r="F39" i="4"/>
  <c r="AF39" i="4"/>
  <c r="E32" i="4"/>
  <c r="E39" i="4"/>
  <c r="AE39" i="4"/>
  <c r="D32" i="4"/>
  <c r="D39" i="4"/>
  <c r="AD39" i="4"/>
  <c r="C39" i="4"/>
  <c r="AC39" i="4"/>
  <c r="Y32" i="4"/>
  <c r="Y39" i="4"/>
  <c r="X32" i="4"/>
  <c r="X39" i="4"/>
  <c r="W32" i="4"/>
  <c r="W39" i="4"/>
  <c r="V32" i="4"/>
  <c r="V39" i="4"/>
  <c r="U32" i="4"/>
  <c r="U39" i="4"/>
  <c r="T32" i="4"/>
  <c r="T39" i="4"/>
  <c r="S32" i="4"/>
  <c r="S39" i="4"/>
  <c r="R32" i="4"/>
  <c r="R39" i="4"/>
  <c r="Q32" i="4"/>
  <c r="Q39" i="4"/>
  <c r="P32" i="4"/>
  <c r="P39" i="4"/>
  <c r="Y38" i="4"/>
  <c r="X31" i="4"/>
  <c r="X38" i="4"/>
  <c r="W31" i="4"/>
  <c r="W38" i="4"/>
  <c r="V30" i="4"/>
  <c r="V31" i="4"/>
  <c r="V38" i="4"/>
  <c r="U30" i="4"/>
  <c r="U31" i="4"/>
  <c r="U38" i="4"/>
  <c r="T30" i="4"/>
  <c r="T31" i="4"/>
  <c r="T38" i="4"/>
  <c r="S30" i="4"/>
  <c r="S31" i="4"/>
  <c r="S38" i="4"/>
  <c r="R30" i="4"/>
  <c r="R31" i="4"/>
  <c r="R38" i="4"/>
  <c r="Q30" i="4"/>
  <c r="Q31" i="4"/>
  <c r="Q38" i="4"/>
  <c r="P30" i="4"/>
  <c r="P31" i="4"/>
  <c r="P38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Y30" i="4"/>
  <c r="X30" i="4"/>
  <c r="W30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E12" i="4"/>
  <c r="E9" i="4"/>
  <c r="C22" i="4"/>
  <c r="D22" i="4"/>
  <c r="E22" i="4"/>
  <c r="E19" i="4"/>
  <c r="F22" i="4"/>
  <c r="E11" i="4"/>
  <c r="C21" i="4"/>
  <c r="D21" i="4"/>
  <c r="E21" i="4"/>
  <c r="F21" i="4"/>
  <c r="E10" i="4"/>
  <c r="C20" i="4"/>
  <c r="D20" i="4"/>
  <c r="E20" i="4"/>
  <c r="F20" i="4"/>
  <c r="C19" i="4"/>
  <c r="D19" i="4"/>
  <c r="C11" i="4"/>
  <c r="C12" i="4"/>
  <c r="O34" i="3"/>
  <c r="P24" i="3"/>
  <c r="P25" i="3"/>
  <c r="P26" i="3"/>
  <c r="P27" i="3"/>
  <c r="P41" i="3"/>
  <c r="P34" i="3"/>
  <c r="O41" i="3"/>
  <c r="P38" i="3"/>
  <c r="P31" i="3"/>
  <c r="O38" i="3"/>
  <c r="AD41" i="3"/>
  <c r="N34" i="3"/>
  <c r="N41" i="3"/>
  <c r="N31" i="3"/>
  <c r="N38" i="3"/>
  <c r="AC41" i="3"/>
  <c r="M34" i="3"/>
  <c r="M41" i="3"/>
  <c r="M31" i="3"/>
  <c r="M38" i="3"/>
  <c r="AB41" i="3"/>
  <c r="L34" i="3"/>
  <c r="L41" i="3"/>
  <c r="L30" i="3"/>
  <c r="L31" i="3"/>
  <c r="L38" i="3"/>
  <c r="AA41" i="3"/>
  <c r="K34" i="3"/>
  <c r="K41" i="3"/>
  <c r="K30" i="3"/>
  <c r="K31" i="3"/>
  <c r="K38" i="3"/>
  <c r="Z41" i="3"/>
  <c r="J34" i="3"/>
  <c r="J41" i="3"/>
  <c r="J30" i="3"/>
  <c r="J31" i="3"/>
  <c r="J38" i="3"/>
  <c r="Y41" i="3"/>
  <c r="I34" i="3"/>
  <c r="I41" i="3"/>
  <c r="I30" i="3"/>
  <c r="I31" i="3"/>
  <c r="I38" i="3"/>
  <c r="X41" i="3"/>
  <c r="H34" i="3"/>
  <c r="H41" i="3"/>
  <c r="H30" i="3"/>
  <c r="H31" i="3"/>
  <c r="H38" i="3"/>
  <c r="W41" i="3"/>
  <c r="G34" i="3"/>
  <c r="G41" i="3"/>
  <c r="G30" i="3"/>
  <c r="G31" i="3"/>
  <c r="G38" i="3"/>
  <c r="V41" i="3"/>
  <c r="F34" i="3"/>
  <c r="F41" i="3"/>
  <c r="F30" i="3"/>
  <c r="F31" i="3"/>
  <c r="F38" i="3"/>
  <c r="U41" i="3"/>
  <c r="E34" i="3"/>
  <c r="E41" i="3"/>
  <c r="E30" i="3"/>
  <c r="E31" i="3"/>
  <c r="E38" i="3"/>
  <c r="T41" i="3"/>
  <c r="D34" i="3"/>
  <c r="D41" i="3"/>
  <c r="D30" i="3"/>
  <c r="D31" i="3"/>
  <c r="D38" i="3"/>
  <c r="S41" i="3"/>
  <c r="C41" i="3"/>
  <c r="C30" i="3"/>
  <c r="C31" i="3"/>
  <c r="C38" i="3"/>
  <c r="R41" i="3"/>
  <c r="O33" i="3"/>
  <c r="P40" i="3"/>
  <c r="P33" i="3"/>
  <c r="O40" i="3"/>
  <c r="AD40" i="3"/>
  <c r="N33" i="3"/>
  <c r="N40" i="3"/>
  <c r="AC40" i="3"/>
  <c r="M33" i="3"/>
  <c r="M40" i="3"/>
  <c r="AB40" i="3"/>
  <c r="L33" i="3"/>
  <c r="L40" i="3"/>
  <c r="AA40" i="3"/>
  <c r="K33" i="3"/>
  <c r="K40" i="3"/>
  <c r="Z40" i="3"/>
  <c r="J33" i="3"/>
  <c r="J40" i="3"/>
  <c r="Y40" i="3"/>
  <c r="I33" i="3"/>
  <c r="I40" i="3"/>
  <c r="X40" i="3"/>
  <c r="H33" i="3"/>
  <c r="H40" i="3"/>
  <c r="W40" i="3"/>
  <c r="G33" i="3"/>
  <c r="G40" i="3"/>
  <c r="V40" i="3"/>
  <c r="F33" i="3"/>
  <c r="F40" i="3"/>
  <c r="U40" i="3"/>
  <c r="E33" i="3"/>
  <c r="E40" i="3"/>
  <c r="T40" i="3"/>
  <c r="D33" i="3"/>
  <c r="D40" i="3"/>
  <c r="S40" i="3"/>
  <c r="C40" i="3"/>
  <c r="R40" i="3"/>
  <c r="O32" i="3"/>
  <c r="P39" i="3"/>
  <c r="P32" i="3"/>
  <c r="O39" i="3"/>
  <c r="AD39" i="3"/>
  <c r="N32" i="3"/>
  <c r="N39" i="3"/>
  <c r="AC39" i="3"/>
  <c r="M32" i="3"/>
  <c r="M39" i="3"/>
  <c r="AB39" i="3"/>
  <c r="L32" i="3"/>
  <c r="L39" i="3"/>
  <c r="AA39" i="3"/>
  <c r="K32" i="3"/>
  <c r="K39" i="3"/>
  <c r="Z39" i="3"/>
  <c r="J32" i="3"/>
  <c r="J39" i="3"/>
  <c r="Y39" i="3"/>
  <c r="I32" i="3"/>
  <c r="I39" i="3"/>
  <c r="X39" i="3"/>
  <c r="H32" i="3"/>
  <c r="H39" i="3"/>
  <c r="W39" i="3"/>
  <c r="G32" i="3"/>
  <c r="G39" i="3"/>
  <c r="V39" i="3"/>
  <c r="F32" i="3"/>
  <c r="F39" i="3"/>
  <c r="U39" i="3"/>
  <c r="E32" i="3"/>
  <c r="E39" i="3"/>
  <c r="T39" i="3"/>
  <c r="D32" i="3"/>
  <c r="D39" i="3"/>
  <c r="S39" i="3"/>
  <c r="C39" i="3"/>
  <c r="R39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N30" i="3"/>
  <c r="M30" i="3"/>
  <c r="D24" i="3"/>
  <c r="P29" i="3"/>
  <c r="O24" i="3"/>
  <c r="N24" i="3"/>
  <c r="M24" i="3"/>
  <c r="L24" i="3"/>
  <c r="K24" i="3"/>
  <c r="J24" i="3"/>
  <c r="I24" i="3"/>
  <c r="H24" i="3"/>
  <c r="G24" i="3"/>
  <c r="F24" i="3"/>
  <c r="E24" i="3"/>
  <c r="E12" i="3"/>
  <c r="E9" i="3"/>
  <c r="C22" i="3"/>
  <c r="D22" i="3"/>
  <c r="E22" i="3"/>
  <c r="E19" i="3"/>
  <c r="F22" i="3"/>
  <c r="E11" i="3"/>
  <c r="C21" i="3"/>
  <c r="D21" i="3"/>
  <c r="E21" i="3"/>
  <c r="F21" i="3"/>
  <c r="E10" i="3"/>
  <c r="C20" i="3"/>
  <c r="D20" i="3"/>
  <c r="E20" i="3"/>
  <c r="F20" i="3"/>
  <c r="C19" i="3"/>
  <c r="D19" i="3"/>
  <c r="C11" i="3"/>
  <c r="C12" i="3"/>
  <c r="J34" i="2"/>
  <c r="K24" i="2"/>
  <c r="K25" i="2"/>
  <c r="K41" i="2"/>
  <c r="K34" i="2"/>
  <c r="J41" i="2"/>
  <c r="K38" i="2"/>
  <c r="K31" i="2"/>
  <c r="J38" i="2"/>
  <c r="Y41" i="2"/>
  <c r="I34" i="2"/>
  <c r="I41" i="2"/>
  <c r="I31" i="2"/>
  <c r="I38" i="2"/>
  <c r="X41" i="2"/>
  <c r="H34" i="2"/>
  <c r="H41" i="2"/>
  <c r="H31" i="2"/>
  <c r="H38" i="2"/>
  <c r="W41" i="2"/>
  <c r="V41" i="2"/>
  <c r="F34" i="2"/>
  <c r="F41" i="2"/>
  <c r="F30" i="2"/>
  <c r="F31" i="2"/>
  <c r="F38" i="2"/>
  <c r="U41" i="2"/>
  <c r="E34" i="2"/>
  <c r="E41" i="2"/>
  <c r="E30" i="2"/>
  <c r="E31" i="2"/>
  <c r="E38" i="2"/>
  <c r="T41" i="2"/>
  <c r="D34" i="2"/>
  <c r="D41" i="2"/>
  <c r="D30" i="2"/>
  <c r="D31" i="2"/>
  <c r="D38" i="2"/>
  <c r="S41" i="2"/>
  <c r="C41" i="2"/>
  <c r="C30" i="2"/>
  <c r="C38" i="2"/>
  <c r="R41" i="2"/>
  <c r="G34" i="2"/>
  <c r="G41" i="2"/>
  <c r="G30" i="2"/>
  <c r="G31" i="2"/>
  <c r="G38" i="2"/>
  <c r="Q41" i="2"/>
  <c r="P41" i="2"/>
  <c r="O41" i="2"/>
  <c r="N41" i="2"/>
  <c r="M41" i="2"/>
  <c r="J33" i="2"/>
  <c r="K40" i="2"/>
  <c r="K33" i="2"/>
  <c r="J40" i="2"/>
  <c r="Y40" i="2"/>
  <c r="I33" i="2"/>
  <c r="I40" i="2"/>
  <c r="X40" i="2"/>
  <c r="H33" i="2"/>
  <c r="H40" i="2"/>
  <c r="W40" i="2"/>
  <c r="V40" i="2"/>
  <c r="F33" i="2"/>
  <c r="F40" i="2"/>
  <c r="U40" i="2"/>
  <c r="E33" i="2"/>
  <c r="E40" i="2"/>
  <c r="T40" i="2"/>
  <c r="D33" i="2"/>
  <c r="D40" i="2"/>
  <c r="S40" i="2"/>
  <c r="C40" i="2"/>
  <c r="R40" i="2"/>
  <c r="G33" i="2"/>
  <c r="G40" i="2"/>
  <c r="Q40" i="2"/>
  <c r="P40" i="2"/>
  <c r="O40" i="2"/>
  <c r="N40" i="2"/>
  <c r="M40" i="2"/>
  <c r="J32" i="2"/>
  <c r="K39" i="2"/>
  <c r="K32" i="2"/>
  <c r="J39" i="2"/>
  <c r="Y39" i="2"/>
  <c r="I32" i="2"/>
  <c r="I39" i="2"/>
  <c r="X39" i="2"/>
  <c r="H32" i="2"/>
  <c r="H39" i="2"/>
  <c r="W39" i="2"/>
  <c r="V39" i="2"/>
  <c r="F32" i="2"/>
  <c r="F39" i="2"/>
  <c r="U39" i="2"/>
  <c r="E32" i="2"/>
  <c r="E39" i="2"/>
  <c r="T39" i="2"/>
  <c r="D32" i="2"/>
  <c r="D39" i="2"/>
  <c r="S39" i="2"/>
  <c r="C39" i="2"/>
  <c r="R39" i="2"/>
  <c r="G32" i="2"/>
  <c r="G39" i="2"/>
  <c r="Q39" i="2"/>
  <c r="P39" i="2"/>
  <c r="O39" i="2"/>
  <c r="N39" i="2"/>
  <c r="M39" i="2"/>
  <c r="J37" i="2"/>
  <c r="I37" i="2"/>
  <c r="H37" i="2"/>
  <c r="G37" i="2"/>
  <c r="F37" i="2"/>
  <c r="E37" i="2"/>
  <c r="D37" i="2"/>
  <c r="C37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J30" i="2"/>
  <c r="I30" i="2"/>
  <c r="H30" i="2"/>
  <c r="D24" i="2"/>
  <c r="K29" i="2"/>
  <c r="J24" i="2"/>
  <c r="I24" i="2"/>
  <c r="H24" i="2"/>
  <c r="G24" i="2"/>
  <c r="F24" i="2"/>
  <c r="E24" i="2"/>
  <c r="E12" i="2"/>
  <c r="E9" i="2"/>
  <c r="C22" i="2"/>
  <c r="D22" i="2"/>
  <c r="E22" i="2"/>
  <c r="E19" i="2"/>
  <c r="F22" i="2"/>
  <c r="E11" i="2"/>
  <c r="C21" i="2"/>
  <c r="D21" i="2"/>
  <c r="E21" i="2"/>
  <c r="F21" i="2"/>
  <c r="E10" i="2"/>
  <c r="C20" i="2"/>
  <c r="D20" i="2"/>
  <c r="E20" i="2"/>
  <c r="F20" i="2"/>
  <c r="C19" i="2"/>
  <c r="D19" i="2"/>
  <c r="C11" i="2"/>
  <c r="C12" i="2"/>
  <c r="D24" i="1"/>
  <c r="B37" i="1"/>
  <c r="D37" i="1"/>
  <c r="D26" i="1"/>
  <c r="H24" i="1"/>
  <c r="H18" i="1"/>
  <c r="D17" i="1"/>
  <c r="D18" i="1"/>
  <c r="D15" i="1"/>
  <c r="D14" i="1"/>
  <c r="D11" i="1"/>
</calcChain>
</file>

<file path=xl/sharedStrings.xml><?xml version="1.0" encoding="utf-8"?>
<sst xmlns="http://schemas.openxmlformats.org/spreadsheetml/2006/main" count="325" uniqueCount="130">
  <si>
    <t>Geometry</t>
  </si>
  <si>
    <t>Solid  Properties</t>
  </si>
  <si>
    <t>Unit Conversions</t>
  </si>
  <si>
    <t>Nradial</t>
  </si>
  <si>
    <t>k_fuel</t>
  </si>
  <si>
    <t>W/m-k</t>
  </si>
  <si>
    <t>FROM</t>
  </si>
  <si>
    <t>TO</t>
  </si>
  <si>
    <t>TO/FROM</t>
  </si>
  <si>
    <t>Naxial</t>
  </si>
  <si>
    <t>k_clad</t>
  </si>
  <si>
    <t>BTU/sec</t>
  </si>
  <si>
    <t>KW</t>
  </si>
  <si>
    <t>L_chan</t>
  </si>
  <si>
    <t>m</t>
  </si>
  <si>
    <t>rho_fuel</t>
  </si>
  <si>
    <t>kg/m^3</t>
  </si>
  <si>
    <t>ft</t>
  </si>
  <si>
    <t>dz</t>
  </si>
  <si>
    <t>rho_clad</t>
  </si>
  <si>
    <t>R</t>
  </si>
  <si>
    <t>K</t>
  </si>
  <si>
    <t>r_rod</t>
  </si>
  <si>
    <t>cm</t>
  </si>
  <si>
    <t>cp_fuel</t>
  </si>
  <si>
    <t>kJ/kg-K</t>
  </si>
  <si>
    <t>BTU/hr-ft^2-F</t>
  </si>
  <si>
    <t>W/m^2-K</t>
  </si>
  <si>
    <t>r_fuel</t>
  </si>
  <si>
    <t>cp_clad</t>
  </si>
  <si>
    <t>t_clad</t>
  </si>
  <si>
    <t>hgap</t>
  </si>
  <si>
    <t>t_gap</t>
  </si>
  <si>
    <t>pitch</t>
  </si>
  <si>
    <t>A_surf</t>
  </si>
  <si>
    <t>m^2</t>
  </si>
  <si>
    <t>A_mom</t>
  </si>
  <si>
    <t>wett. Perimeter</t>
  </si>
  <si>
    <t>Dittus-Boetler</t>
  </si>
  <si>
    <t>hyd. Diameter</t>
  </si>
  <si>
    <t>m</t>
  </si>
  <si>
    <t>kl</t>
  </si>
  <si>
    <t>btu/hr-ft-F</t>
  </si>
  <si>
    <t>volume fuel</t>
  </si>
  <si>
    <t>m^3</t>
  </si>
  <si>
    <t>De</t>
  </si>
  <si>
    <t>Ft^2</t>
  </si>
  <si>
    <t>mass fuel</t>
  </si>
  <si>
    <t>kg</t>
  </si>
  <si>
    <t>L/D</t>
  </si>
  <si>
    <t>L/D&gt;10</t>
  </si>
  <si>
    <t>Nu</t>
  </si>
  <si>
    <t>Re</t>
  </si>
  <si>
    <t>Re&gt;10000</t>
  </si>
  <si>
    <t>Pr</t>
  </si>
  <si>
    <t>0.6&gt;Pr&gt;6.1</t>
  </si>
  <si>
    <t>Rod Power</t>
  </si>
  <si>
    <t>htc</t>
  </si>
  <si>
    <t>btu/sec-ft^2-F</t>
  </si>
  <si>
    <t>q'</t>
  </si>
  <si>
    <t>kW/m</t>
  </si>
  <si>
    <t>q</t>
  </si>
  <si>
    <t>kW</t>
  </si>
  <si>
    <t>Tw-Tf</t>
  </si>
  <si>
    <t>q_dot</t>
  </si>
  <si>
    <t>kW/m^3</t>
  </si>
  <si>
    <t>q''</t>
  </si>
  <si>
    <t>kW/m^2</t>
  </si>
  <si>
    <t>Thermal Resistances</t>
  </si>
  <si>
    <t>R_gap</t>
  </si>
  <si>
    <t>K/W</t>
  </si>
  <si>
    <t>Fluid Condtions</t>
  </si>
  <si>
    <t>R_clad</t>
  </si>
  <si>
    <t>m_dot</t>
  </si>
  <si>
    <t>kg/sec</t>
  </si>
  <si>
    <t>R_fluid</t>
  </si>
  <si>
    <t>Pref</t>
  </si>
  <si>
    <t>Mpa</t>
  </si>
  <si>
    <t>T_in</t>
  </si>
  <si>
    <t>C</t>
  </si>
  <si>
    <t>Temperature Drops</t>
  </si>
  <si>
    <t>h_in</t>
  </si>
  <si>
    <t>kJ/kg</t>
  </si>
  <si>
    <t>T_gap</t>
  </si>
  <si>
    <t>cp_in</t>
  </si>
  <si>
    <t>kJ/kg-k</t>
  </si>
  <si>
    <t>T_clad</t>
  </si>
  <si>
    <t>kl_in</t>
  </si>
  <si>
    <t>W/m-K</t>
  </si>
  <si>
    <t>T_fluid</t>
  </si>
  <si>
    <t>mu_in</t>
  </si>
  <si>
    <t>Pa-s</t>
  </si>
  <si>
    <t>cp_bar</t>
  </si>
  <si>
    <t>T_out</t>
  </si>
  <si>
    <t>cp_out</t>
  </si>
  <si>
    <t>kl_out</t>
  </si>
  <si>
    <t>mu_out</t>
  </si>
  <si>
    <t>AXIAL LEVEL 3 10 Radial Nodes</t>
  </si>
  <si>
    <t>Fluid Energy Balance</t>
  </si>
  <si>
    <t>Raw Data</t>
  </si>
  <si>
    <t>flow rate</t>
  </si>
  <si>
    <t>enthalpy</t>
  </si>
  <si>
    <t>lbm/sec</t>
  </si>
  <si>
    <t>btu/lbm</t>
  </si>
  <si>
    <t>Inlet</t>
  </si>
  <si>
    <t>Semi-implicit Trans</t>
  </si>
  <si>
    <t>Implicit SS</t>
  </si>
  <si>
    <t>Implicit Trans</t>
  </si>
  <si>
    <t>Output</t>
  </si>
  <si>
    <t>Enthalpy Change</t>
  </si>
  <si>
    <t>Total Power</t>
  </si>
  <si>
    <t>Rod Energy Rate</t>
  </si>
  <si>
    <t>Analytical</t>
  </si>
  <si>
    <t>Error</t>
  </si>
  <si>
    <t>FLUID</t>
  </si>
  <si>
    <t>dr [ft]</t>
  </si>
  <si>
    <t>r [ft]</t>
  </si>
  <si>
    <t>T(r) [F]</t>
  </si>
  <si>
    <t>Relative Temperature Difference</t>
  </si>
  <si>
    <t>r [cm]</t>
  </si>
  <si>
    <t>Difference</t>
  </si>
  <si>
    <t>T(r)-T(s) [C]</t>
  </si>
  <si>
    <t>Absolute Temperature Difference</t>
  </si>
  <si>
    <t>Relative Difference</t>
  </si>
  <si>
    <t>DATA</t>
  </si>
  <si>
    <t>Axial Centerline Temperature [K]</t>
  </si>
  <si>
    <t>Fuel Centerline Temperature Error [%]</t>
  </si>
  <si>
    <t>NR</t>
  </si>
  <si>
    <t>EXACT</t>
  </si>
  <si>
    <t>N_radial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</si>
</sst>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"/>
    <numFmt numFmtId="165" formatCode="0.000"/>
    <numFmt numFmtId="166" formatCode="0.00000"/>
    <numFmt numFmtId="167" formatCode="0.0000"/>
    <numFmt numFmtId="168" formatCode="0.00E+000"/>
    <numFmt numFmtId="171" formatCode="0.00000000"/>
    <numFmt numFmtId="172" formatCode="0.000%"/>
  </numFmts>
  <fonts count="5" x14ac:knownFonts="1">
    <font>
      <sz val="10"/>
      <name val="Arial"/>
      <family val="2"/>
    </font>
    <font>
      <b/>
      <sz val="10"/>
      <name val="Arial"/>
      <family val="2"/>
    </font>
    <font>
      <b/>
      <sz val="15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/>
    <xf numFmtId="168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6" fontId="0" fillId="0" borderId="0" xfId="0" applyNumberFormat="1"/>
    <xf numFmtId="172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11" fontId="0" fillId="0" borderId="0" xfId="0" applyNumberForma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Relative Temperature Difference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'SS Rod Radial Profile_5'!$B$31</c:f>
              <c:strCache>
                <c:ptCount val="1"/>
                <c:pt idx="0">
                  <c:v>Analytical</c:v>
                </c:pt>
              </c:strCache>
            </c:strRef>
          </c:tx>
          <c:spPr>
            <a:ln w="28800">
              <a:solidFill>
                <a:srgbClr val="000000"/>
              </a:solidFill>
              <a:round/>
            </a:ln>
          </c:spPr>
          <c:marker>
            <c:symbol val="diamond"/>
            <c:size val="7"/>
          </c:marker>
          <c:xVal>
            <c:numRef>
              <c:f>'SS Rod Radial Profile_5'!$C$30:$J$30</c:f>
              <c:numCache>
                <c:formatCode>0.000</c:formatCode>
                <c:ptCount val="8"/>
                <c:pt idx="0">
                  <c:v>0.0</c:v>
                </c:pt>
                <c:pt idx="1">
                  <c:v>0.0643626417348321</c:v>
                </c:pt>
                <c:pt idx="2">
                  <c:v>0.14391924213055</c:v>
                </c:pt>
                <c:pt idx="3">
                  <c:v>0.232062804999256</c:v>
                </c:pt>
                <c:pt idx="4">
                  <c:v>0.321813208674162</c:v>
                </c:pt>
                <c:pt idx="5">
                  <c:v>0.409601343832022</c:v>
                </c:pt>
                <c:pt idx="6">
                  <c:v>0.418001371391077</c:v>
                </c:pt>
                <c:pt idx="7">
                  <c:v>0.475001558398949</c:v>
                </c:pt>
              </c:numCache>
            </c:numRef>
          </c:xVal>
          <c:yVal>
            <c:numRef>
              <c:f>'SS Rod Radial Profile_5'!$C$31:$J$31</c:f>
              <c:numCache>
                <c:formatCode>0.000</c:formatCode>
                <c:ptCount val="8"/>
                <c:pt idx="0">
                  <c:v>92.38341129163882</c:v>
                </c:pt>
                <c:pt idx="1">
                  <c:v>90.9217313744396</c:v>
                </c:pt>
                <c:pt idx="2">
                  <c:v>85.07501170564271</c:v>
                </c:pt>
                <c:pt idx="3">
                  <c:v>73.38157236804895</c:v>
                </c:pt>
                <c:pt idx="4">
                  <c:v>55.84141336165801</c:v>
                </c:pt>
                <c:pt idx="5">
                  <c:v>33.18576308171949</c:v>
                </c:pt>
                <c:pt idx="6">
                  <c:v>5.814058678433464</c:v>
                </c:pt>
                <c:pt idx="7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'SS Rod Radial Profile_5'!$B$32</c:f>
              <c:strCache>
                <c:ptCount val="1"/>
                <c:pt idx="0">
                  <c:v>Semi-implicit Trans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7"/>
          </c:marker>
          <c:xVal>
            <c:numRef>
              <c:f>'SS Rod Radial Profile_5'!$C$30:$J$30</c:f>
              <c:numCache>
                <c:formatCode>0.000</c:formatCode>
                <c:ptCount val="8"/>
                <c:pt idx="0">
                  <c:v>0.0</c:v>
                </c:pt>
                <c:pt idx="1">
                  <c:v>0.0643626417348321</c:v>
                </c:pt>
                <c:pt idx="2">
                  <c:v>0.14391924213055</c:v>
                </c:pt>
                <c:pt idx="3">
                  <c:v>0.232062804999256</c:v>
                </c:pt>
                <c:pt idx="4">
                  <c:v>0.321813208674162</c:v>
                </c:pt>
                <c:pt idx="5">
                  <c:v>0.409601343832022</c:v>
                </c:pt>
                <c:pt idx="6">
                  <c:v>0.418001371391077</c:v>
                </c:pt>
                <c:pt idx="7">
                  <c:v>0.475001558398949</c:v>
                </c:pt>
              </c:numCache>
            </c:numRef>
          </c:xVal>
          <c:yVal>
            <c:numRef>
              <c:f>'SS Rod Radial Profile_5'!$C$32:$J$32</c:f>
              <c:numCache>
                <c:formatCode>0.000</c:formatCode>
                <c:ptCount val="8"/>
                <c:pt idx="0">
                  <c:v>88.2662746296296</c:v>
                </c:pt>
                <c:pt idx="1">
                  <c:v>86.5543261111111</c:v>
                </c:pt>
                <c:pt idx="2">
                  <c:v>81.41848055555556</c:v>
                </c:pt>
                <c:pt idx="3">
                  <c:v>70.9436561111111</c:v>
                </c:pt>
                <c:pt idx="4">
                  <c:v>54.48638277777775</c:v>
                </c:pt>
                <c:pt idx="5">
                  <c:v>32.26015611111108</c:v>
                </c:pt>
                <c:pt idx="6">
                  <c:v>5.479050000000016</c:v>
                </c:pt>
                <c:pt idx="7">
                  <c:v>0.0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'SS Rod Radial Profile_5'!$B$33</c:f>
              <c:strCache>
                <c:ptCount val="1"/>
                <c:pt idx="0">
                  <c:v>Implicit SS</c:v>
                </c:pt>
              </c:strCache>
            </c:strRef>
          </c:tx>
          <c:spPr>
            <a:ln w="28800">
              <a:noFill/>
            </a:ln>
          </c:spPr>
          <c:marker>
            <c:symbol val="triangle"/>
            <c:size val="7"/>
          </c:marker>
          <c:xVal>
            <c:numRef>
              <c:f>'SS Rod Radial Profile_5'!$C$30:$J$30</c:f>
              <c:numCache>
                <c:formatCode>0.000</c:formatCode>
                <c:ptCount val="8"/>
                <c:pt idx="0">
                  <c:v>0.0</c:v>
                </c:pt>
                <c:pt idx="1">
                  <c:v>0.0643626417348321</c:v>
                </c:pt>
                <c:pt idx="2">
                  <c:v>0.14391924213055</c:v>
                </c:pt>
                <c:pt idx="3">
                  <c:v>0.232062804999256</c:v>
                </c:pt>
                <c:pt idx="4">
                  <c:v>0.321813208674162</c:v>
                </c:pt>
                <c:pt idx="5">
                  <c:v>0.409601343832022</c:v>
                </c:pt>
                <c:pt idx="6">
                  <c:v>0.418001371391077</c:v>
                </c:pt>
                <c:pt idx="7">
                  <c:v>0.475001558398949</c:v>
                </c:pt>
              </c:numCache>
            </c:numRef>
          </c:xVal>
          <c:yVal>
            <c:numRef>
              <c:f>'SS Rod Radial Profile_5'!$C$33:$J$33</c:f>
              <c:numCache>
                <c:formatCode>0.000</c:formatCode>
                <c:ptCount val="8"/>
                <c:pt idx="0">
                  <c:v>88.44823703703696</c:v>
                </c:pt>
                <c:pt idx="1">
                  <c:v>86.73207944444439</c:v>
                </c:pt>
                <c:pt idx="2">
                  <c:v>81.58360666666663</c:v>
                </c:pt>
                <c:pt idx="3">
                  <c:v>71.0842905555555</c:v>
                </c:pt>
                <c:pt idx="4">
                  <c:v>54.59194666666665</c:v>
                </c:pt>
                <c:pt idx="5">
                  <c:v>32.32435888888883</c:v>
                </c:pt>
                <c:pt idx="6">
                  <c:v>5.490174444444418</c:v>
                </c:pt>
                <c:pt idx="7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'SS Rod Radial Profile_5'!$B$34</c:f>
              <c:strCache>
                <c:ptCount val="1"/>
                <c:pt idx="0">
                  <c:v>Implicit Trans</c:v>
                </c:pt>
              </c:strCache>
            </c:strRef>
          </c:tx>
          <c:spPr>
            <a:ln w="28800">
              <a:noFill/>
            </a:ln>
          </c:spPr>
          <c:marker>
            <c:symbol val="x"/>
            <c:size val="7"/>
          </c:marker>
          <c:xVal>
            <c:numRef>
              <c:f>'SS Rod Radial Profile_5'!$C$30:$J$30</c:f>
              <c:numCache>
                <c:formatCode>0.000</c:formatCode>
                <c:ptCount val="8"/>
                <c:pt idx="0">
                  <c:v>0.0</c:v>
                </c:pt>
                <c:pt idx="1">
                  <c:v>0.0643626417348321</c:v>
                </c:pt>
                <c:pt idx="2">
                  <c:v>0.14391924213055</c:v>
                </c:pt>
                <c:pt idx="3">
                  <c:v>0.232062804999256</c:v>
                </c:pt>
                <c:pt idx="4">
                  <c:v>0.321813208674162</c:v>
                </c:pt>
                <c:pt idx="5">
                  <c:v>0.409601343832022</c:v>
                </c:pt>
                <c:pt idx="6">
                  <c:v>0.418001371391077</c:v>
                </c:pt>
                <c:pt idx="7">
                  <c:v>0.475001558398949</c:v>
                </c:pt>
              </c:numCache>
            </c:numRef>
          </c:xVal>
          <c:yVal>
            <c:numRef>
              <c:f>'SS Rod Radial Profile_5'!$C$34:$J$34</c:f>
              <c:numCache>
                <c:formatCode>0.000</c:formatCode>
                <c:ptCount val="8"/>
                <c:pt idx="0">
                  <c:v>88.23573351851856</c:v>
                </c:pt>
                <c:pt idx="1">
                  <c:v>86.52449166666669</c:v>
                </c:pt>
                <c:pt idx="2">
                  <c:v>81.39076611111111</c:v>
                </c:pt>
                <c:pt idx="3">
                  <c:v>70.9200522222222</c:v>
                </c:pt>
                <c:pt idx="4">
                  <c:v>54.46866499999999</c:v>
                </c:pt>
                <c:pt idx="5">
                  <c:v>32.24938055555558</c:v>
                </c:pt>
                <c:pt idx="6">
                  <c:v>5.477182777777772</c:v>
                </c:pt>
                <c:pt idx="7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330920"/>
        <c:axId val="2054337896"/>
      </c:scatterChart>
      <c:valAx>
        <c:axId val="2054330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Radius [cm]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54337896"/>
        <c:crossesAt val="0.0"/>
        <c:crossBetween val="midCat"/>
      </c:valAx>
      <c:valAx>
        <c:axId val="20543378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Temperature [C]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54330920"/>
        <c:crossesAt val="0.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Relative Temperature Difference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'SS Rod Radial Profile_20'!$B$31</c:f>
              <c:strCache>
                <c:ptCount val="1"/>
                <c:pt idx="0">
                  <c:v>Analytical</c:v>
                </c:pt>
              </c:strCache>
            </c:strRef>
          </c:tx>
          <c:spPr>
            <a:ln w="28800">
              <a:solidFill>
                <a:srgbClr val="000000"/>
              </a:solidFill>
              <a:round/>
            </a:ln>
          </c:spPr>
          <c:marker>
            <c:symbol val="diamond"/>
            <c:size val="7"/>
          </c:marker>
          <c:xVal>
            <c:numRef>
              <c:f>'SS Rod Radial Profile_20'!$C$30:$Y$30</c:f>
              <c:numCache>
                <c:formatCode>0.000</c:formatCode>
                <c:ptCount val="23"/>
                <c:pt idx="0">
                  <c:v>0.0</c:v>
                </c:pt>
                <c:pt idx="1">
                  <c:v>0.0148529173234228</c:v>
                </c:pt>
                <c:pt idx="2">
                  <c:v>0.0332121327993576</c:v>
                </c:pt>
                <c:pt idx="3">
                  <c:v>0.0535529549998282</c:v>
                </c:pt>
                <c:pt idx="4">
                  <c:v>0.0742645866171139</c:v>
                </c:pt>
                <c:pt idx="5">
                  <c:v>0.0951050749101948</c:v>
                </c:pt>
                <c:pt idx="6">
                  <c:v>0.116004992711531</c:v>
                </c:pt>
                <c:pt idx="7">
                  <c:v>0.136937131583792</c:v>
                </c:pt>
                <c:pt idx="8">
                  <c:v>0.157888676892477</c:v>
                </c:pt>
                <c:pt idx="9">
                  <c:v>0.178852808720978</c:v>
                </c:pt>
                <c:pt idx="10">
                  <c:v>0.199825565671599</c:v>
                </c:pt>
                <c:pt idx="11">
                  <c:v>0.220804490028241</c:v>
                </c:pt>
                <c:pt idx="12">
                  <c:v>0.241787976436701</c:v>
                </c:pt>
                <c:pt idx="13">
                  <c:v>0.262774932012442</c:v>
                </c:pt>
                <c:pt idx="14">
                  <c:v>0.283764587027695</c:v>
                </c:pt>
                <c:pt idx="15">
                  <c:v>0.304756383722997</c:v>
                </c:pt>
                <c:pt idx="16">
                  <c:v>0.325749908059701</c:v>
                </c:pt>
                <c:pt idx="17">
                  <c:v>0.346744846239934</c:v>
                </c:pt>
                <c:pt idx="18">
                  <c:v>0.367740956107794</c:v>
                </c:pt>
                <c:pt idx="19">
                  <c:v>0.38873804781145</c:v>
                </c:pt>
                <c:pt idx="20">
                  <c:v>0.409601343832022</c:v>
                </c:pt>
                <c:pt idx="21">
                  <c:v>0.418001371391077</c:v>
                </c:pt>
                <c:pt idx="22">
                  <c:v>0.475001558398949</c:v>
                </c:pt>
              </c:numCache>
            </c:numRef>
          </c:xVal>
          <c:yVal>
            <c:numRef>
              <c:f>'SS Rod Radial Profile_20'!$C$31:$Y$31</c:f>
              <c:numCache>
                <c:formatCode>0.000</c:formatCode>
                <c:ptCount val="23"/>
                <c:pt idx="0">
                  <c:v>92.38341129163882</c:v>
                </c:pt>
                <c:pt idx="1">
                  <c:v>92.30557034930277</c:v>
                </c:pt>
                <c:pt idx="2">
                  <c:v>91.99420657995855</c:v>
                </c:pt>
                <c:pt idx="3">
                  <c:v>91.37147904127013</c:v>
                </c:pt>
                <c:pt idx="4">
                  <c:v>90.4373877332375</c:v>
                </c:pt>
                <c:pt idx="5">
                  <c:v>89.19193265586064</c:v>
                </c:pt>
                <c:pt idx="6">
                  <c:v>87.63511380913957</c:v>
                </c:pt>
                <c:pt idx="7">
                  <c:v>85.7669311930743</c:v>
                </c:pt>
                <c:pt idx="8">
                  <c:v>83.5873848076648</c:v>
                </c:pt>
                <c:pt idx="9">
                  <c:v>81.0964746529111</c:v>
                </c:pt>
                <c:pt idx="10">
                  <c:v>78.2942007288132</c:v>
                </c:pt>
                <c:pt idx="11">
                  <c:v>75.1805630353711</c:v>
                </c:pt>
                <c:pt idx="12">
                  <c:v>71.75556157258474</c:v>
                </c:pt>
                <c:pt idx="13">
                  <c:v>68.01919634045422</c:v>
                </c:pt>
                <c:pt idx="14">
                  <c:v>63.97146733897944</c:v>
                </c:pt>
                <c:pt idx="15">
                  <c:v>59.61237456816043</c:v>
                </c:pt>
                <c:pt idx="16">
                  <c:v>54.94191802799745</c:v>
                </c:pt>
                <c:pt idx="17">
                  <c:v>49.96009771849005</c:v>
                </c:pt>
                <c:pt idx="18">
                  <c:v>44.66691363963784</c:v>
                </c:pt>
                <c:pt idx="19">
                  <c:v>39.0623657914423</c:v>
                </c:pt>
                <c:pt idx="20">
                  <c:v>33.18576308171949</c:v>
                </c:pt>
                <c:pt idx="21">
                  <c:v>5.814058678433464</c:v>
                </c:pt>
                <c:pt idx="22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'SS Rod Radial Profile_20'!$B$32</c:f>
              <c:strCache>
                <c:ptCount val="1"/>
                <c:pt idx="0">
                  <c:v>Semi-implicit Trans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7"/>
          </c:marker>
          <c:xVal>
            <c:numRef>
              <c:f>'SS Rod Radial Profile_20'!$C$30:$Y$30</c:f>
              <c:numCache>
                <c:formatCode>0.000</c:formatCode>
                <c:ptCount val="23"/>
                <c:pt idx="0">
                  <c:v>0.0</c:v>
                </c:pt>
                <c:pt idx="1">
                  <c:v>0.0148529173234228</c:v>
                </c:pt>
                <c:pt idx="2">
                  <c:v>0.0332121327993576</c:v>
                </c:pt>
                <c:pt idx="3">
                  <c:v>0.0535529549998282</c:v>
                </c:pt>
                <c:pt idx="4">
                  <c:v>0.0742645866171139</c:v>
                </c:pt>
                <c:pt idx="5">
                  <c:v>0.0951050749101948</c:v>
                </c:pt>
                <c:pt idx="6">
                  <c:v>0.116004992711531</c:v>
                </c:pt>
                <c:pt idx="7">
                  <c:v>0.136937131583792</c:v>
                </c:pt>
                <c:pt idx="8">
                  <c:v>0.157888676892477</c:v>
                </c:pt>
                <c:pt idx="9">
                  <c:v>0.178852808720978</c:v>
                </c:pt>
                <c:pt idx="10">
                  <c:v>0.199825565671599</c:v>
                </c:pt>
                <c:pt idx="11">
                  <c:v>0.220804490028241</c:v>
                </c:pt>
                <c:pt idx="12">
                  <c:v>0.241787976436701</c:v>
                </c:pt>
                <c:pt idx="13">
                  <c:v>0.262774932012442</c:v>
                </c:pt>
                <c:pt idx="14">
                  <c:v>0.283764587027695</c:v>
                </c:pt>
                <c:pt idx="15">
                  <c:v>0.304756383722997</c:v>
                </c:pt>
                <c:pt idx="16">
                  <c:v>0.325749908059701</c:v>
                </c:pt>
                <c:pt idx="17">
                  <c:v>0.346744846239934</c:v>
                </c:pt>
                <c:pt idx="18">
                  <c:v>0.367740956107794</c:v>
                </c:pt>
                <c:pt idx="19">
                  <c:v>0.38873804781145</c:v>
                </c:pt>
                <c:pt idx="20">
                  <c:v>0.409601343832022</c:v>
                </c:pt>
                <c:pt idx="21">
                  <c:v>0.418001371391077</c:v>
                </c:pt>
                <c:pt idx="22">
                  <c:v>0.475001558398949</c:v>
                </c:pt>
              </c:numCache>
            </c:numRef>
          </c:xVal>
          <c:yVal>
            <c:numRef>
              <c:f>'SS Rod Radial Profile_20'!$C$32:$Y$32</c:f>
              <c:numCache>
                <c:formatCode>0.000</c:formatCode>
                <c:ptCount val="23"/>
                <c:pt idx="0">
                  <c:v>91.48061703703699</c:v>
                </c:pt>
                <c:pt idx="1">
                  <c:v>91.38942388888887</c:v>
                </c:pt>
                <c:pt idx="2">
                  <c:v>91.11584444444443</c:v>
                </c:pt>
                <c:pt idx="3">
                  <c:v>90.55792888888884</c:v>
                </c:pt>
                <c:pt idx="4">
                  <c:v>89.68154444444438</c:v>
                </c:pt>
                <c:pt idx="5">
                  <c:v>88.48693388888888</c:v>
                </c:pt>
                <c:pt idx="6">
                  <c:v>86.97574722222221</c:v>
                </c:pt>
                <c:pt idx="7">
                  <c:v>85.14927166666666</c:v>
                </c:pt>
                <c:pt idx="8">
                  <c:v>83.0084194444444</c:v>
                </c:pt>
                <c:pt idx="9">
                  <c:v>80.55384111111108</c:v>
                </c:pt>
                <c:pt idx="10">
                  <c:v>77.78600777777778</c:v>
                </c:pt>
                <c:pt idx="11">
                  <c:v>74.7052661111111</c:v>
                </c:pt>
                <c:pt idx="12">
                  <c:v>71.31187499999997</c:v>
                </c:pt>
                <c:pt idx="13">
                  <c:v>67.60602888888886</c:v>
                </c:pt>
                <c:pt idx="14">
                  <c:v>63.58787277777778</c:v>
                </c:pt>
                <c:pt idx="15">
                  <c:v>59.25751666666662</c:v>
                </c:pt>
                <c:pt idx="16">
                  <c:v>54.61504166666663</c:v>
                </c:pt>
                <c:pt idx="17">
                  <c:v>49.66050611111105</c:v>
                </c:pt>
                <c:pt idx="18">
                  <c:v>44.39395222222218</c:v>
                </c:pt>
                <c:pt idx="19">
                  <c:v>38.81540611111107</c:v>
                </c:pt>
                <c:pt idx="20">
                  <c:v>32.92779611111106</c:v>
                </c:pt>
                <c:pt idx="21">
                  <c:v>5.59249222222219</c:v>
                </c:pt>
                <c:pt idx="22">
                  <c:v>0.0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'SS Rod Radial Profile_20'!$B$33</c:f>
              <c:strCache>
                <c:ptCount val="1"/>
                <c:pt idx="0">
                  <c:v>Implicit SS</c:v>
                </c:pt>
              </c:strCache>
            </c:strRef>
          </c:tx>
          <c:spPr>
            <a:ln w="28800">
              <a:noFill/>
            </a:ln>
          </c:spPr>
          <c:marker>
            <c:symbol val="triangle"/>
            <c:size val="7"/>
          </c:marker>
          <c:xVal>
            <c:numRef>
              <c:f>'SS Rod Radial Profile_20'!$C$30:$Y$30</c:f>
              <c:numCache>
                <c:formatCode>0.000</c:formatCode>
                <c:ptCount val="23"/>
                <c:pt idx="0">
                  <c:v>0.0</c:v>
                </c:pt>
                <c:pt idx="1">
                  <c:v>0.0148529173234228</c:v>
                </c:pt>
                <c:pt idx="2">
                  <c:v>0.0332121327993576</c:v>
                </c:pt>
                <c:pt idx="3">
                  <c:v>0.0535529549998282</c:v>
                </c:pt>
                <c:pt idx="4">
                  <c:v>0.0742645866171139</c:v>
                </c:pt>
                <c:pt idx="5">
                  <c:v>0.0951050749101948</c:v>
                </c:pt>
                <c:pt idx="6">
                  <c:v>0.116004992711531</c:v>
                </c:pt>
                <c:pt idx="7">
                  <c:v>0.136937131583792</c:v>
                </c:pt>
                <c:pt idx="8">
                  <c:v>0.157888676892477</c:v>
                </c:pt>
                <c:pt idx="9">
                  <c:v>0.178852808720978</c:v>
                </c:pt>
                <c:pt idx="10">
                  <c:v>0.199825565671599</c:v>
                </c:pt>
                <c:pt idx="11">
                  <c:v>0.220804490028241</c:v>
                </c:pt>
                <c:pt idx="12">
                  <c:v>0.241787976436701</c:v>
                </c:pt>
                <c:pt idx="13">
                  <c:v>0.262774932012442</c:v>
                </c:pt>
                <c:pt idx="14">
                  <c:v>0.283764587027695</c:v>
                </c:pt>
                <c:pt idx="15">
                  <c:v>0.304756383722997</c:v>
                </c:pt>
                <c:pt idx="16">
                  <c:v>0.325749908059701</c:v>
                </c:pt>
                <c:pt idx="17">
                  <c:v>0.346744846239934</c:v>
                </c:pt>
                <c:pt idx="18">
                  <c:v>0.367740956107794</c:v>
                </c:pt>
                <c:pt idx="19">
                  <c:v>0.38873804781145</c:v>
                </c:pt>
                <c:pt idx="20">
                  <c:v>0.409601343832022</c:v>
                </c:pt>
                <c:pt idx="21">
                  <c:v>0.418001371391077</c:v>
                </c:pt>
                <c:pt idx="22">
                  <c:v>0.475001558398949</c:v>
                </c:pt>
              </c:numCache>
            </c:numRef>
          </c:xVal>
          <c:yVal>
            <c:numRef>
              <c:f>'SS Rod Radial Profile_20'!$C$33:$Y$33</c:f>
              <c:numCache>
                <c:formatCode>0.000</c:formatCode>
                <c:ptCount val="23"/>
                <c:pt idx="0">
                  <c:v>91.63475740740738</c:v>
                </c:pt>
                <c:pt idx="1">
                  <c:v>91.54336444444444</c:v>
                </c:pt>
                <c:pt idx="2">
                  <c:v>91.26918555555557</c:v>
                </c:pt>
                <c:pt idx="3">
                  <c:v>90.71005055555557</c:v>
                </c:pt>
                <c:pt idx="4">
                  <c:v>89.83176000000001</c:v>
                </c:pt>
                <c:pt idx="5">
                  <c:v>88.63456888888891</c:v>
                </c:pt>
                <c:pt idx="6">
                  <c:v>87.1201477777778</c:v>
                </c:pt>
                <c:pt idx="7">
                  <c:v>85.28980666666668</c:v>
                </c:pt>
                <c:pt idx="8">
                  <c:v>83.144485</c:v>
                </c:pt>
                <c:pt idx="9">
                  <c:v>80.68486222222222</c:v>
                </c:pt>
                <c:pt idx="10">
                  <c:v>77.91144222222222</c:v>
                </c:pt>
                <c:pt idx="11">
                  <c:v>74.8246077777778</c:v>
                </c:pt>
                <c:pt idx="12">
                  <c:v>71.42465611111113</c:v>
                </c:pt>
                <c:pt idx="13">
                  <c:v>67.7118222222222</c:v>
                </c:pt>
                <c:pt idx="14">
                  <c:v>63.6862966666667</c:v>
                </c:pt>
                <c:pt idx="15">
                  <c:v>59.34823444444444</c:v>
                </c:pt>
                <c:pt idx="16">
                  <c:v>54.69776444444442</c:v>
                </c:pt>
                <c:pt idx="17">
                  <c:v>49.73499388888892</c:v>
                </c:pt>
                <c:pt idx="18">
                  <c:v>44.46001499999997</c:v>
                </c:pt>
                <c:pt idx="19">
                  <c:v>38.87290611111111</c:v>
                </c:pt>
                <c:pt idx="20">
                  <c:v>32.97664833333335</c:v>
                </c:pt>
                <c:pt idx="21">
                  <c:v>5.600963333333324</c:v>
                </c:pt>
                <c:pt idx="22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'SS Rod Radial Profile_20'!$B$34</c:f>
              <c:strCache>
                <c:ptCount val="1"/>
                <c:pt idx="0">
                  <c:v>Implicit Trans</c:v>
                </c:pt>
              </c:strCache>
            </c:strRef>
          </c:tx>
          <c:spPr>
            <a:ln w="28800">
              <a:noFill/>
            </a:ln>
          </c:spPr>
          <c:marker>
            <c:symbol val="x"/>
            <c:size val="7"/>
          </c:marker>
          <c:xVal>
            <c:numRef>
              <c:f>'SS Rod Radial Profile_20'!$C$30:$Y$30</c:f>
              <c:numCache>
                <c:formatCode>0.000</c:formatCode>
                <c:ptCount val="23"/>
                <c:pt idx="0">
                  <c:v>0.0</c:v>
                </c:pt>
                <c:pt idx="1">
                  <c:v>0.0148529173234228</c:v>
                </c:pt>
                <c:pt idx="2">
                  <c:v>0.0332121327993576</c:v>
                </c:pt>
                <c:pt idx="3">
                  <c:v>0.0535529549998282</c:v>
                </c:pt>
                <c:pt idx="4">
                  <c:v>0.0742645866171139</c:v>
                </c:pt>
                <c:pt idx="5">
                  <c:v>0.0951050749101948</c:v>
                </c:pt>
                <c:pt idx="6">
                  <c:v>0.116004992711531</c:v>
                </c:pt>
                <c:pt idx="7">
                  <c:v>0.136937131583792</c:v>
                </c:pt>
                <c:pt idx="8">
                  <c:v>0.157888676892477</c:v>
                </c:pt>
                <c:pt idx="9">
                  <c:v>0.178852808720978</c:v>
                </c:pt>
                <c:pt idx="10">
                  <c:v>0.199825565671599</c:v>
                </c:pt>
                <c:pt idx="11">
                  <c:v>0.220804490028241</c:v>
                </c:pt>
                <c:pt idx="12">
                  <c:v>0.241787976436701</c:v>
                </c:pt>
                <c:pt idx="13">
                  <c:v>0.262774932012442</c:v>
                </c:pt>
                <c:pt idx="14">
                  <c:v>0.283764587027695</c:v>
                </c:pt>
                <c:pt idx="15">
                  <c:v>0.304756383722997</c:v>
                </c:pt>
                <c:pt idx="16">
                  <c:v>0.325749908059701</c:v>
                </c:pt>
                <c:pt idx="17">
                  <c:v>0.346744846239934</c:v>
                </c:pt>
                <c:pt idx="18">
                  <c:v>0.367740956107794</c:v>
                </c:pt>
                <c:pt idx="19">
                  <c:v>0.38873804781145</c:v>
                </c:pt>
                <c:pt idx="20">
                  <c:v>0.409601343832022</c:v>
                </c:pt>
                <c:pt idx="21">
                  <c:v>0.418001371391077</c:v>
                </c:pt>
                <c:pt idx="22">
                  <c:v>0.475001558398949</c:v>
                </c:pt>
              </c:numCache>
            </c:numRef>
          </c:xVal>
          <c:yVal>
            <c:numRef>
              <c:f>'SS Rod Radial Profile_20'!$C$34:$Y$34</c:f>
              <c:numCache>
                <c:formatCode>0.000</c:formatCode>
                <c:ptCount val="23"/>
                <c:pt idx="0">
                  <c:v>91.45266962962965</c:v>
                </c:pt>
                <c:pt idx="1">
                  <c:v>91.3615127777778</c:v>
                </c:pt>
                <c:pt idx="2">
                  <c:v>91.08804222222224</c:v>
                </c:pt>
                <c:pt idx="3">
                  <c:v>90.53034777777782</c:v>
                </c:pt>
                <c:pt idx="4">
                  <c:v>89.65430888888895</c:v>
                </c:pt>
                <c:pt idx="5">
                  <c:v>88.4601661111111</c:v>
                </c:pt>
                <c:pt idx="6">
                  <c:v>86.94956666666668</c:v>
                </c:pt>
                <c:pt idx="7">
                  <c:v>85.1237916666667</c:v>
                </c:pt>
                <c:pt idx="8">
                  <c:v>82.98374944444447</c:v>
                </c:pt>
                <c:pt idx="9">
                  <c:v>80.53008611111112</c:v>
                </c:pt>
                <c:pt idx="10">
                  <c:v>77.76326555555556</c:v>
                </c:pt>
                <c:pt idx="11">
                  <c:v>74.68362888888893</c:v>
                </c:pt>
                <c:pt idx="12">
                  <c:v>71.29142722222222</c:v>
                </c:pt>
                <c:pt idx="13">
                  <c:v>67.58684777777781</c:v>
                </c:pt>
                <c:pt idx="14">
                  <c:v>63.5700277777778</c:v>
                </c:pt>
                <c:pt idx="15">
                  <c:v>59.24106888888894</c:v>
                </c:pt>
                <c:pt idx="16">
                  <c:v>54.60004333333334</c:v>
                </c:pt>
                <c:pt idx="17">
                  <c:v>49.64700166666666</c:v>
                </c:pt>
                <c:pt idx="18">
                  <c:v>44.38197500000001</c:v>
                </c:pt>
                <c:pt idx="19">
                  <c:v>38.80498166666668</c:v>
                </c:pt>
                <c:pt idx="20">
                  <c:v>32.9189388888889</c:v>
                </c:pt>
                <c:pt idx="21">
                  <c:v>5.590956666666658</c:v>
                </c:pt>
                <c:pt idx="22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713816"/>
        <c:axId val="2054719608"/>
      </c:scatterChart>
      <c:valAx>
        <c:axId val="2054713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Radius [cm]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54719608"/>
        <c:crossesAt val="0.0"/>
        <c:crossBetween val="midCat"/>
      </c:valAx>
      <c:valAx>
        <c:axId val="20547196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Temperature [C]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54713816"/>
        <c:crossesAt val="0.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'SS Rod Radial Profile_20'!$AB$39:$AB$39</c:f>
              <c:strCache>
                <c:ptCount val="1"/>
                <c:pt idx="0">
                  <c:v>Semi-implicit Trans</c:v>
                </c:pt>
              </c:strCache>
            </c:strRef>
          </c:tx>
          <c:spPr>
            <a:ln w="28800">
              <a:solidFill>
                <a:srgbClr val="000000"/>
              </a:solidFill>
              <a:round/>
            </a:ln>
          </c:spPr>
          <c:marker>
            <c:symbol val="diamond"/>
            <c:size val="7"/>
          </c:marker>
          <c:xVal>
            <c:numRef>
              <c:f>'SS Rod Radial Profile_20'!$D$30:$M$30</c:f>
              <c:numCache>
                <c:formatCode>0.000</c:formatCode>
                <c:ptCount val="10"/>
                <c:pt idx="0">
                  <c:v>0.0148529173234228</c:v>
                </c:pt>
                <c:pt idx="1">
                  <c:v>0.0332121327993576</c:v>
                </c:pt>
                <c:pt idx="2">
                  <c:v>0.0535529549998282</c:v>
                </c:pt>
                <c:pt idx="3">
                  <c:v>0.0742645866171139</c:v>
                </c:pt>
                <c:pt idx="4">
                  <c:v>0.0951050749101948</c:v>
                </c:pt>
                <c:pt idx="5">
                  <c:v>0.116004992711531</c:v>
                </c:pt>
                <c:pt idx="6">
                  <c:v>0.136937131583792</c:v>
                </c:pt>
                <c:pt idx="7">
                  <c:v>0.157888676892477</c:v>
                </c:pt>
                <c:pt idx="8">
                  <c:v>0.178852808720978</c:v>
                </c:pt>
                <c:pt idx="9">
                  <c:v>0.199825565671599</c:v>
                </c:pt>
              </c:numCache>
            </c:numRef>
          </c:xVal>
          <c:yVal>
            <c:numRef>
              <c:f>'SS Rod Radial Profile_20'!$AC$39:$AM$39</c:f>
              <c:numCache>
                <c:formatCode>0.000%</c:formatCode>
                <c:ptCount val="11"/>
                <c:pt idx="0">
                  <c:v>-0.00117566806308479</c:v>
                </c:pt>
                <c:pt idx="1">
                  <c:v>-0.00121038807140561</c:v>
                </c:pt>
                <c:pt idx="2">
                  <c:v>-0.00111370112306632</c:v>
                </c:pt>
                <c:pt idx="3">
                  <c:v>-0.000947707153317945</c:v>
                </c:pt>
                <c:pt idx="4">
                  <c:v>-0.000800247098971396</c:v>
                </c:pt>
                <c:pt idx="5">
                  <c:v>-0.000670465479168619</c:v>
                </c:pt>
                <c:pt idx="6">
                  <c:v>-0.00055390470976098</c:v>
                </c:pt>
                <c:pt idx="7">
                  <c:v>-0.000447059471176693</c:v>
                </c:pt>
                <c:pt idx="8">
                  <c:v>-0.000347399748777786</c:v>
                </c:pt>
                <c:pt idx="9">
                  <c:v>-0.000253072688689844</c:v>
                </c:pt>
                <c:pt idx="10">
                  <c:v>-0.00016268659178725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'SS Rod Radial Profile_20'!$AB$41:$AB$41</c:f>
              <c:strCache>
                <c:ptCount val="1"/>
                <c:pt idx="0">
                  <c:v>Implicit Trans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square"/>
            <c:size val="7"/>
          </c:marker>
          <c:xVal>
            <c:numRef>
              <c:f>'SS Rod Radial Profile_20'!$D$30:$M$30</c:f>
              <c:numCache>
                <c:formatCode>0.000</c:formatCode>
                <c:ptCount val="10"/>
                <c:pt idx="0">
                  <c:v>0.0148529173234228</c:v>
                </c:pt>
                <c:pt idx="1">
                  <c:v>0.0332121327993576</c:v>
                </c:pt>
                <c:pt idx="2">
                  <c:v>0.0535529549998282</c:v>
                </c:pt>
                <c:pt idx="3">
                  <c:v>0.0742645866171139</c:v>
                </c:pt>
                <c:pt idx="4">
                  <c:v>0.0951050749101948</c:v>
                </c:pt>
                <c:pt idx="5">
                  <c:v>0.116004992711531</c:v>
                </c:pt>
                <c:pt idx="6">
                  <c:v>0.136937131583792</c:v>
                </c:pt>
                <c:pt idx="7">
                  <c:v>0.157888676892477</c:v>
                </c:pt>
                <c:pt idx="8">
                  <c:v>0.178852808720978</c:v>
                </c:pt>
                <c:pt idx="9">
                  <c:v>0.199825565671599</c:v>
                </c:pt>
              </c:numCache>
            </c:numRef>
          </c:xVal>
          <c:yVal>
            <c:numRef>
              <c:f>'SS Rod Radial Profile_20'!$AC$41:$AM$41</c:f>
              <c:numCache>
                <c:formatCode>0.000%</c:formatCode>
                <c:ptCount val="11"/>
                <c:pt idx="0">
                  <c:v>-0.00125165687097491</c:v>
                </c:pt>
                <c:pt idx="1">
                  <c:v>-0.0012862984160888</c:v>
                </c:pt>
                <c:pt idx="2">
                  <c:v>-0.00118939111413522</c:v>
                </c:pt>
                <c:pt idx="3">
                  <c:v>-0.00102294674187672</c:v>
                </c:pt>
                <c:pt idx="4">
                  <c:v>-0.000874772310604706</c:v>
                </c:pt>
                <c:pt idx="5">
                  <c:v>-0.000744014461880622</c:v>
                </c:pt>
                <c:pt idx="6">
                  <c:v>-0.000626217931656089</c:v>
                </c:pt>
                <c:pt idx="7">
                  <c:v>-0.000517887237521363</c:v>
                </c:pt>
                <c:pt idx="8">
                  <c:v>-0.000416495276208023</c:v>
                </c:pt>
                <c:pt idx="9">
                  <c:v>-0.000320192419280008</c:v>
                </c:pt>
                <c:pt idx="10">
                  <c:v>-0.000227596497827234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'SS Rod Radial Profile_20'!$AB$40:$AB$40</c:f>
              <c:strCache>
                <c:ptCount val="1"/>
                <c:pt idx="0">
                  <c:v>Implicit SS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triangle"/>
            <c:size val="7"/>
          </c:marker>
          <c:xVal>
            <c:numRef>
              <c:f>'SS Rod Radial Profile_20'!$D$30:$M$30</c:f>
              <c:numCache>
                <c:formatCode>0.000</c:formatCode>
                <c:ptCount val="10"/>
                <c:pt idx="0">
                  <c:v>0.0148529173234228</c:v>
                </c:pt>
                <c:pt idx="1">
                  <c:v>0.0332121327993576</c:v>
                </c:pt>
                <c:pt idx="2">
                  <c:v>0.0535529549998282</c:v>
                </c:pt>
                <c:pt idx="3">
                  <c:v>0.0742645866171139</c:v>
                </c:pt>
                <c:pt idx="4">
                  <c:v>0.0951050749101948</c:v>
                </c:pt>
                <c:pt idx="5">
                  <c:v>0.116004992711531</c:v>
                </c:pt>
                <c:pt idx="6">
                  <c:v>0.136937131583792</c:v>
                </c:pt>
                <c:pt idx="7">
                  <c:v>0.157888676892477</c:v>
                </c:pt>
                <c:pt idx="8">
                  <c:v>0.178852808720978</c:v>
                </c:pt>
                <c:pt idx="9">
                  <c:v>0.199825565671599</c:v>
                </c:pt>
              </c:numCache>
            </c:numRef>
          </c:xVal>
          <c:yVal>
            <c:numRef>
              <c:f>'SS Rod Radial Profile_20'!$AC$40:$AM$40</c:f>
              <c:numCache>
                <c:formatCode>0.000%</c:formatCode>
                <c:ptCount val="11"/>
                <c:pt idx="0">
                  <c:v>-0.000756510533840144</c:v>
                </c:pt>
                <c:pt idx="1">
                  <c:v>-0.00079166232298485</c:v>
                </c:pt>
                <c:pt idx="2">
                  <c:v>-0.00069618777455719</c:v>
                </c:pt>
                <c:pt idx="3">
                  <c:v>-0.000532677683913974</c:v>
                </c:pt>
                <c:pt idx="4">
                  <c:v>-0.000389158182743359</c:v>
                </c:pt>
                <c:pt idx="5">
                  <c:v>-0.000264762179931019</c:v>
                </c:pt>
                <c:pt idx="6">
                  <c:v>-0.000155005621452403</c:v>
                </c:pt>
                <c:pt idx="7">
                  <c:v>-5.63574524129902E-5</c:v>
                </c:pt>
                <c:pt idx="8">
                  <c:v>3.37434105533016E-5</c:v>
                </c:pt>
                <c:pt idx="9">
                  <c:v>0.000117179225423642</c:v>
                </c:pt>
                <c:pt idx="10">
                  <c:v>0.000195375582147142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764344"/>
        <c:axId val="2054767672"/>
      </c:scatterChart>
      <c:valAx>
        <c:axId val="2054764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54767672"/>
        <c:crossesAt val="0.0"/>
        <c:crossBetween val="midCat"/>
      </c:valAx>
      <c:valAx>
        <c:axId val="20547676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54764344"/>
        <c:crossesAt val="0.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Temperature Profile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'SS Rod Radial Profile_20'!$B$38:$B$38</c:f>
              <c:strCache>
                <c:ptCount val="1"/>
                <c:pt idx="0">
                  <c:v>Analytical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diamond"/>
            <c:size val="7"/>
          </c:marker>
          <c:xVal>
            <c:numRef>
              <c:f>'SS Rod Radial Profile_20'!$C$37:$AO$37</c:f>
              <c:numCache>
                <c:formatCode>0.00000</c:formatCode>
                <c:ptCount val="39"/>
                <c:pt idx="0">
                  <c:v>0.0</c:v>
                </c:pt>
                <c:pt idx="1">
                  <c:v>0.0148529173234228</c:v>
                </c:pt>
                <c:pt idx="2">
                  <c:v>0.0332121327993576</c:v>
                </c:pt>
                <c:pt idx="3">
                  <c:v>0.0535529549998282</c:v>
                </c:pt>
                <c:pt idx="4">
                  <c:v>0.0742645866171139</c:v>
                </c:pt>
                <c:pt idx="5">
                  <c:v>0.0951050749101948</c:v>
                </c:pt>
                <c:pt idx="6">
                  <c:v>0.116004992711531</c:v>
                </c:pt>
                <c:pt idx="7">
                  <c:v>0.136937131583792</c:v>
                </c:pt>
                <c:pt idx="8">
                  <c:v>0.157888676892477</c:v>
                </c:pt>
                <c:pt idx="9">
                  <c:v>0.178852808720978</c:v>
                </c:pt>
                <c:pt idx="10">
                  <c:v>0.199825565671599</c:v>
                </c:pt>
                <c:pt idx="11">
                  <c:v>0.220804490028241</c:v>
                </c:pt>
                <c:pt idx="12">
                  <c:v>0.241787976436701</c:v>
                </c:pt>
              </c:numCache>
            </c:numRef>
          </c:xVal>
          <c:yVal>
            <c:numRef>
              <c:f>'SS Rod Radial Profile_20'!$C$38:$AO$38</c:f>
              <c:numCache>
                <c:formatCode>0.000</c:formatCode>
                <c:ptCount val="39"/>
                <c:pt idx="0">
                  <c:v>387.281691753449</c:v>
                </c:pt>
                <c:pt idx="1">
                  <c:v>387.203850811113</c:v>
                </c:pt>
                <c:pt idx="2">
                  <c:v>386.8924870417688</c:v>
                </c:pt>
                <c:pt idx="3">
                  <c:v>386.2697595030804</c:v>
                </c:pt>
                <c:pt idx="4">
                  <c:v>385.3356681950477</c:v>
                </c:pt>
                <c:pt idx="5">
                  <c:v>384.0902131176708</c:v>
                </c:pt>
                <c:pt idx="6">
                  <c:v>382.5333942709498</c:v>
                </c:pt>
                <c:pt idx="7">
                  <c:v>380.6652116548845</c:v>
                </c:pt>
                <c:pt idx="8">
                  <c:v>378.485665269475</c:v>
                </c:pt>
                <c:pt idx="9">
                  <c:v>375.9947551147212</c:v>
                </c:pt>
                <c:pt idx="10">
                  <c:v>373.1924811906233</c:v>
                </c:pt>
                <c:pt idx="11">
                  <c:v>370.0788434971813</c:v>
                </c:pt>
                <c:pt idx="12">
                  <c:v>366.653842034395</c:v>
                </c:pt>
                <c:pt idx="13">
                  <c:v>362.9174768022644</c:v>
                </c:pt>
                <c:pt idx="14">
                  <c:v>358.8697478007896</c:v>
                </c:pt>
                <c:pt idx="15">
                  <c:v>354.5106550299706</c:v>
                </c:pt>
                <c:pt idx="16">
                  <c:v>349.8401984898077</c:v>
                </c:pt>
                <c:pt idx="17">
                  <c:v>344.8583781803002</c:v>
                </c:pt>
                <c:pt idx="18">
                  <c:v>339.5651941014481</c:v>
                </c:pt>
                <c:pt idx="19">
                  <c:v>333.9606462532525</c:v>
                </c:pt>
                <c:pt idx="20">
                  <c:v>328.0840435435297</c:v>
                </c:pt>
                <c:pt idx="21">
                  <c:v>300.7123391402437</c:v>
                </c:pt>
                <c:pt idx="22">
                  <c:v>294.8982804618102</c:v>
                </c:pt>
                <c:pt idx="24">
                  <c:v>290.9345519809411</c:v>
                </c:pt>
                <c:pt idx="26" formatCode="General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'SS Rod Radial Profile_20'!$B$39:$B$39</c:f>
              <c:strCache>
                <c:ptCount val="1"/>
                <c:pt idx="0">
                  <c:v>Semi-implicit Trans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7"/>
          </c:marker>
          <c:xVal>
            <c:numRef>
              <c:f>'SS Rod Radial Profile_20'!$C$37:$AO$37</c:f>
              <c:numCache>
                <c:formatCode>0.00000</c:formatCode>
                <c:ptCount val="39"/>
                <c:pt idx="0">
                  <c:v>0.0</c:v>
                </c:pt>
                <c:pt idx="1">
                  <c:v>0.0148529173234228</c:v>
                </c:pt>
                <c:pt idx="2">
                  <c:v>0.0332121327993576</c:v>
                </c:pt>
                <c:pt idx="3">
                  <c:v>0.0535529549998282</c:v>
                </c:pt>
                <c:pt idx="4">
                  <c:v>0.0742645866171139</c:v>
                </c:pt>
                <c:pt idx="5">
                  <c:v>0.0951050749101948</c:v>
                </c:pt>
                <c:pt idx="6">
                  <c:v>0.116004992711531</c:v>
                </c:pt>
                <c:pt idx="7">
                  <c:v>0.136937131583792</c:v>
                </c:pt>
                <c:pt idx="8">
                  <c:v>0.157888676892477</c:v>
                </c:pt>
                <c:pt idx="9">
                  <c:v>0.178852808720978</c:v>
                </c:pt>
                <c:pt idx="10">
                  <c:v>0.199825565671599</c:v>
                </c:pt>
                <c:pt idx="11">
                  <c:v>0.220804490028241</c:v>
                </c:pt>
                <c:pt idx="12">
                  <c:v>0.241787976436701</c:v>
                </c:pt>
              </c:numCache>
            </c:numRef>
          </c:xVal>
          <c:yVal>
            <c:numRef>
              <c:f>'SS Rod Radial Profile_20'!$C$39:$AO$39</c:f>
              <c:numCache>
                <c:formatCode>0.000</c:formatCode>
                <c:ptCount val="39"/>
                <c:pt idx="0">
                  <c:v>386.826377037037</c:v>
                </c:pt>
                <c:pt idx="1">
                  <c:v>386.7351838888889</c:v>
                </c:pt>
                <c:pt idx="2">
                  <c:v>386.4616044444444</c:v>
                </c:pt>
                <c:pt idx="3">
                  <c:v>385.9036888888889</c:v>
                </c:pt>
                <c:pt idx="4">
                  <c:v>385.0273044444444</c:v>
                </c:pt>
                <c:pt idx="5">
                  <c:v>383.832693888889</c:v>
                </c:pt>
                <c:pt idx="6">
                  <c:v>382.3215072222222</c:v>
                </c:pt>
                <c:pt idx="7">
                  <c:v>380.4950316666667</c:v>
                </c:pt>
                <c:pt idx="8">
                  <c:v>378.3541794444444</c:v>
                </c:pt>
                <c:pt idx="9">
                  <c:v>375.8996011111111</c:v>
                </c:pt>
                <c:pt idx="10">
                  <c:v>373.1317677777778</c:v>
                </c:pt>
                <c:pt idx="11">
                  <c:v>370.0510261111111</c:v>
                </c:pt>
                <c:pt idx="12">
                  <c:v>366.657635</c:v>
                </c:pt>
                <c:pt idx="13">
                  <c:v>362.9517888888889</c:v>
                </c:pt>
                <c:pt idx="14">
                  <c:v>358.9336327777778</c:v>
                </c:pt>
                <c:pt idx="15">
                  <c:v>354.6032766666666</c:v>
                </c:pt>
                <c:pt idx="16">
                  <c:v>349.9608016666666</c:v>
                </c:pt>
                <c:pt idx="17">
                  <c:v>345.0062661111111</c:v>
                </c:pt>
                <c:pt idx="18">
                  <c:v>339.7397122222222</c:v>
                </c:pt>
                <c:pt idx="19">
                  <c:v>334.1611661111111</c:v>
                </c:pt>
                <c:pt idx="20">
                  <c:v>328.2735561111111</c:v>
                </c:pt>
                <c:pt idx="21">
                  <c:v>300.9382522222222</c:v>
                </c:pt>
                <c:pt idx="22">
                  <c:v>295.34576</c:v>
                </c:pt>
                <c:pt idx="24">
                  <c:v>290.9345519809411</c:v>
                </c:pt>
                <c:pt idx="25" formatCode="General">
                  <c:v>0.0</c:v>
                </c:pt>
                <c:pt idx="26" formatCode="0.000%">
                  <c:v>-0.00117566806308479</c:v>
                </c:pt>
                <c:pt idx="27" formatCode="0.000%">
                  <c:v>-0.00121038807140561</c:v>
                </c:pt>
                <c:pt idx="28" formatCode="0.000%">
                  <c:v>-0.00111370112306632</c:v>
                </c:pt>
                <c:pt idx="29" formatCode="0.000%">
                  <c:v>-0.000947707153317945</c:v>
                </c:pt>
                <c:pt idx="30" formatCode="0.000%">
                  <c:v>-0.000800247098971396</c:v>
                </c:pt>
                <c:pt idx="31" formatCode="0.000%">
                  <c:v>-0.000670465479168619</c:v>
                </c:pt>
                <c:pt idx="32" formatCode="0.000%">
                  <c:v>-0.00055390470976098</c:v>
                </c:pt>
                <c:pt idx="33" formatCode="0.000%">
                  <c:v>-0.000447059471176693</c:v>
                </c:pt>
                <c:pt idx="34" formatCode="0.000%">
                  <c:v>-0.000347399748777786</c:v>
                </c:pt>
                <c:pt idx="35" formatCode="0.000%">
                  <c:v>-0.000253072688689844</c:v>
                </c:pt>
                <c:pt idx="36" formatCode="0.000%">
                  <c:v>-0.00016268659178725</c:v>
                </c:pt>
                <c:pt idx="37" formatCode="0.000%">
                  <c:v>-7.5166107328139E-5</c:v>
                </c:pt>
                <c:pt idx="38" formatCode="0.000%">
                  <c:v>1.03448134732617E-5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'SS Rod Radial Profile_20'!$B$40:$B$40</c:f>
              <c:strCache>
                <c:ptCount val="1"/>
                <c:pt idx="0">
                  <c:v>Implicit SS</c:v>
                </c:pt>
              </c:strCache>
            </c:strRef>
          </c:tx>
          <c:spPr>
            <a:ln w="28800">
              <a:noFill/>
            </a:ln>
          </c:spPr>
          <c:marker>
            <c:symbol val="triangle"/>
            <c:size val="7"/>
          </c:marker>
          <c:xVal>
            <c:numRef>
              <c:f>'SS Rod Radial Profile_20'!$C$37:$AO$37</c:f>
              <c:numCache>
                <c:formatCode>0.00000</c:formatCode>
                <c:ptCount val="39"/>
                <c:pt idx="0">
                  <c:v>0.0</c:v>
                </c:pt>
                <c:pt idx="1">
                  <c:v>0.0148529173234228</c:v>
                </c:pt>
                <c:pt idx="2">
                  <c:v>0.0332121327993576</c:v>
                </c:pt>
                <c:pt idx="3">
                  <c:v>0.0535529549998282</c:v>
                </c:pt>
                <c:pt idx="4">
                  <c:v>0.0742645866171139</c:v>
                </c:pt>
                <c:pt idx="5">
                  <c:v>0.0951050749101948</c:v>
                </c:pt>
                <c:pt idx="6">
                  <c:v>0.116004992711531</c:v>
                </c:pt>
                <c:pt idx="7">
                  <c:v>0.136937131583792</c:v>
                </c:pt>
                <c:pt idx="8">
                  <c:v>0.157888676892477</c:v>
                </c:pt>
                <c:pt idx="9">
                  <c:v>0.178852808720978</c:v>
                </c:pt>
                <c:pt idx="10">
                  <c:v>0.199825565671599</c:v>
                </c:pt>
                <c:pt idx="11">
                  <c:v>0.220804490028241</c:v>
                </c:pt>
                <c:pt idx="12">
                  <c:v>0.241787976436701</c:v>
                </c:pt>
              </c:numCache>
            </c:numRef>
          </c:xVal>
          <c:yVal>
            <c:numRef>
              <c:f>'SS Rod Radial Profile_20'!$C$40:$AO$40</c:f>
              <c:numCache>
                <c:formatCode>0.000</c:formatCode>
                <c:ptCount val="39"/>
                <c:pt idx="0">
                  <c:v>386.9887090740741</c:v>
                </c:pt>
                <c:pt idx="1">
                  <c:v>386.8973161111112</c:v>
                </c:pt>
                <c:pt idx="2">
                  <c:v>386.6231372222223</c:v>
                </c:pt>
                <c:pt idx="3">
                  <c:v>386.0640022222223</c:v>
                </c:pt>
                <c:pt idx="4">
                  <c:v>385.1857116666667</c:v>
                </c:pt>
                <c:pt idx="5">
                  <c:v>383.9885205555556</c:v>
                </c:pt>
                <c:pt idx="6">
                  <c:v>382.4740994444445</c:v>
                </c:pt>
                <c:pt idx="7">
                  <c:v>380.6437583333333</c:v>
                </c:pt>
                <c:pt idx="8">
                  <c:v>378.4984366666667</c:v>
                </c:pt>
                <c:pt idx="9">
                  <c:v>376.038813888889</c:v>
                </c:pt>
                <c:pt idx="10">
                  <c:v>373.2653938888889</c:v>
                </c:pt>
                <c:pt idx="11">
                  <c:v>370.1785594444445</c:v>
                </c:pt>
                <c:pt idx="12">
                  <c:v>366.7786077777778</c:v>
                </c:pt>
                <c:pt idx="13">
                  <c:v>363.0657738888889</c:v>
                </c:pt>
                <c:pt idx="14">
                  <c:v>359.0402483333334</c:v>
                </c:pt>
                <c:pt idx="15">
                  <c:v>354.7021861111111</c:v>
                </c:pt>
                <c:pt idx="16">
                  <c:v>350.0517161111111</c:v>
                </c:pt>
                <c:pt idx="17">
                  <c:v>345.0889455555557</c:v>
                </c:pt>
                <c:pt idx="18">
                  <c:v>339.8139666666667</c:v>
                </c:pt>
                <c:pt idx="19">
                  <c:v>334.2268577777778</c:v>
                </c:pt>
                <c:pt idx="20">
                  <c:v>328.3306000000001</c:v>
                </c:pt>
                <c:pt idx="21">
                  <c:v>300.954915</c:v>
                </c:pt>
                <c:pt idx="22">
                  <c:v>295.3539516666667</c:v>
                </c:pt>
                <c:pt idx="24">
                  <c:v>290.9345519809411</c:v>
                </c:pt>
                <c:pt idx="25" formatCode="General">
                  <c:v>0.0</c:v>
                </c:pt>
                <c:pt idx="26" formatCode="0.000%">
                  <c:v>-0.000756510533840144</c:v>
                </c:pt>
                <c:pt idx="27" formatCode="0.000%">
                  <c:v>-0.00079166232298485</c:v>
                </c:pt>
                <c:pt idx="28" formatCode="0.000%">
                  <c:v>-0.00069618777455719</c:v>
                </c:pt>
                <c:pt idx="29" formatCode="0.000%">
                  <c:v>-0.000532677683913974</c:v>
                </c:pt>
                <c:pt idx="30" formatCode="0.000%">
                  <c:v>-0.000389158182743359</c:v>
                </c:pt>
                <c:pt idx="31" formatCode="0.000%">
                  <c:v>-0.000264762179931019</c:v>
                </c:pt>
                <c:pt idx="32" formatCode="0.000%">
                  <c:v>-0.000155005621452403</c:v>
                </c:pt>
                <c:pt idx="33" formatCode="0.000%">
                  <c:v>-5.63574524129902E-5</c:v>
                </c:pt>
                <c:pt idx="34" formatCode="0.000%">
                  <c:v>3.37434105533016E-5</c:v>
                </c:pt>
                <c:pt idx="35" formatCode="0.000%">
                  <c:v>0.000117179225423642</c:v>
                </c:pt>
                <c:pt idx="36" formatCode="0.000%">
                  <c:v>0.000195375582147142</c:v>
                </c:pt>
                <c:pt idx="37" formatCode="0.000%">
                  <c:v>0.000269445143961584</c:v>
                </c:pt>
                <c:pt idx="38" formatCode="0.000%">
                  <c:v>0.00034028211102505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807000"/>
        <c:axId val="2054812744"/>
      </c:scatterChart>
      <c:valAx>
        <c:axId val="2054807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Radius [cm]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54812744"/>
        <c:crossesAt val="0.0"/>
        <c:crossBetween val="midCat"/>
      </c:valAx>
      <c:valAx>
        <c:axId val="20548127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Temperature [C]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54807000"/>
        <c:crossesAt val="0.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Relative Temperature Difference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'SS Rod Radial Profile_20'!$B$31</c:f>
              <c:strCache>
                <c:ptCount val="1"/>
                <c:pt idx="0">
                  <c:v>Analytical</c:v>
                </c:pt>
              </c:strCache>
            </c:strRef>
          </c:tx>
          <c:spPr>
            <a:ln w="28800">
              <a:solidFill>
                <a:srgbClr val="000000"/>
              </a:solidFill>
              <a:round/>
            </a:ln>
          </c:spPr>
          <c:marker>
            <c:symbol val="none"/>
          </c:marker>
          <c:xVal>
            <c:numRef>
              <c:f>'SS Rod Radial Profile_20'!$C$30:$Y$30</c:f>
              <c:numCache>
                <c:formatCode>0.000</c:formatCode>
                <c:ptCount val="23"/>
                <c:pt idx="0">
                  <c:v>0.0</c:v>
                </c:pt>
                <c:pt idx="1">
                  <c:v>0.0148529173234228</c:v>
                </c:pt>
                <c:pt idx="2">
                  <c:v>0.0332121327993576</c:v>
                </c:pt>
                <c:pt idx="3">
                  <c:v>0.0535529549998282</c:v>
                </c:pt>
                <c:pt idx="4">
                  <c:v>0.0742645866171139</c:v>
                </c:pt>
                <c:pt idx="5">
                  <c:v>0.0951050749101948</c:v>
                </c:pt>
                <c:pt idx="6">
                  <c:v>0.116004992711531</c:v>
                </c:pt>
                <c:pt idx="7">
                  <c:v>0.136937131583792</c:v>
                </c:pt>
                <c:pt idx="8">
                  <c:v>0.157888676892477</c:v>
                </c:pt>
                <c:pt idx="9">
                  <c:v>0.178852808720978</c:v>
                </c:pt>
                <c:pt idx="10">
                  <c:v>0.199825565671599</c:v>
                </c:pt>
                <c:pt idx="11">
                  <c:v>0.220804490028241</c:v>
                </c:pt>
                <c:pt idx="12">
                  <c:v>0.241787976436701</c:v>
                </c:pt>
                <c:pt idx="13">
                  <c:v>0.262774932012442</c:v>
                </c:pt>
                <c:pt idx="14">
                  <c:v>0.283764587027695</c:v>
                </c:pt>
                <c:pt idx="15">
                  <c:v>0.304756383722997</c:v>
                </c:pt>
                <c:pt idx="16">
                  <c:v>0.325749908059701</c:v>
                </c:pt>
                <c:pt idx="17">
                  <c:v>0.346744846239934</c:v>
                </c:pt>
                <c:pt idx="18">
                  <c:v>0.367740956107794</c:v>
                </c:pt>
                <c:pt idx="19">
                  <c:v>0.38873804781145</c:v>
                </c:pt>
                <c:pt idx="20">
                  <c:v>0.409601343832022</c:v>
                </c:pt>
                <c:pt idx="21">
                  <c:v>0.418001371391077</c:v>
                </c:pt>
                <c:pt idx="22">
                  <c:v>0.475001558398949</c:v>
                </c:pt>
              </c:numCache>
            </c:numRef>
          </c:xVal>
          <c:yVal>
            <c:numRef>
              <c:f>'SS Rod Radial Profile_20'!$C$31:$Y$31</c:f>
              <c:numCache>
                <c:formatCode>0.000</c:formatCode>
                <c:ptCount val="23"/>
                <c:pt idx="0">
                  <c:v>92.38341129163882</c:v>
                </c:pt>
                <c:pt idx="1">
                  <c:v>92.30557034930277</c:v>
                </c:pt>
                <c:pt idx="2">
                  <c:v>91.99420657995855</c:v>
                </c:pt>
                <c:pt idx="3">
                  <c:v>91.37147904127013</c:v>
                </c:pt>
                <c:pt idx="4">
                  <c:v>90.4373877332375</c:v>
                </c:pt>
                <c:pt idx="5">
                  <c:v>89.19193265586064</c:v>
                </c:pt>
                <c:pt idx="6">
                  <c:v>87.63511380913957</c:v>
                </c:pt>
                <c:pt idx="7">
                  <c:v>85.7669311930743</c:v>
                </c:pt>
                <c:pt idx="8">
                  <c:v>83.5873848076648</c:v>
                </c:pt>
                <c:pt idx="9">
                  <c:v>81.0964746529111</c:v>
                </c:pt>
                <c:pt idx="10">
                  <c:v>78.2942007288132</c:v>
                </c:pt>
                <c:pt idx="11">
                  <c:v>75.1805630353711</c:v>
                </c:pt>
                <c:pt idx="12">
                  <c:v>71.75556157258474</c:v>
                </c:pt>
                <c:pt idx="13">
                  <c:v>68.01919634045422</c:v>
                </c:pt>
                <c:pt idx="14">
                  <c:v>63.97146733897944</c:v>
                </c:pt>
                <c:pt idx="15">
                  <c:v>59.61237456816043</c:v>
                </c:pt>
                <c:pt idx="16">
                  <c:v>54.94191802799745</c:v>
                </c:pt>
                <c:pt idx="17">
                  <c:v>49.96009771849005</c:v>
                </c:pt>
                <c:pt idx="18">
                  <c:v>44.66691363963784</c:v>
                </c:pt>
                <c:pt idx="19">
                  <c:v>39.0623657914423</c:v>
                </c:pt>
                <c:pt idx="20">
                  <c:v>33.18576308171949</c:v>
                </c:pt>
                <c:pt idx="21">
                  <c:v>5.814058678433464</c:v>
                </c:pt>
                <c:pt idx="22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'SS Rod Radial Profile_20'!$B$32</c:f>
              <c:strCache>
                <c:ptCount val="1"/>
                <c:pt idx="0">
                  <c:v>Semi-implicit Trans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7"/>
          </c:marker>
          <c:xVal>
            <c:numRef>
              <c:f>'SS Rod Radial Profile_20'!$C$30:$Y$30</c:f>
              <c:numCache>
                <c:formatCode>0.000</c:formatCode>
                <c:ptCount val="23"/>
                <c:pt idx="0">
                  <c:v>0.0</c:v>
                </c:pt>
                <c:pt idx="1">
                  <c:v>0.0148529173234228</c:v>
                </c:pt>
                <c:pt idx="2">
                  <c:v>0.0332121327993576</c:v>
                </c:pt>
                <c:pt idx="3">
                  <c:v>0.0535529549998282</c:v>
                </c:pt>
                <c:pt idx="4">
                  <c:v>0.0742645866171139</c:v>
                </c:pt>
                <c:pt idx="5">
                  <c:v>0.0951050749101948</c:v>
                </c:pt>
                <c:pt idx="6">
                  <c:v>0.116004992711531</c:v>
                </c:pt>
                <c:pt idx="7">
                  <c:v>0.136937131583792</c:v>
                </c:pt>
                <c:pt idx="8">
                  <c:v>0.157888676892477</c:v>
                </c:pt>
                <c:pt idx="9">
                  <c:v>0.178852808720978</c:v>
                </c:pt>
                <c:pt idx="10">
                  <c:v>0.199825565671599</c:v>
                </c:pt>
                <c:pt idx="11">
                  <c:v>0.220804490028241</c:v>
                </c:pt>
                <c:pt idx="12">
                  <c:v>0.241787976436701</c:v>
                </c:pt>
                <c:pt idx="13">
                  <c:v>0.262774932012442</c:v>
                </c:pt>
                <c:pt idx="14">
                  <c:v>0.283764587027695</c:v>
                </c:pt>
                <c:pt idx="15">
                  <c:v>0.304756383722997</c:v>
                </c:pt>
                <c:pt idx="16">
                  <c:v>0.325749908059701</c:v>
                </c:pt>
                <c:pt idx="17">
                  <c:v>0.346744846239934</c:v>
                </c:pt>
                <c:pt idx="18">
                  <c:v>0.367740956107794</c:v>
                </c:pt>
                <c:pt idx="19">
                  <c:v>0.38873804781145</c:v>
                </c:pt>
                <c:pt idx="20">
                  <c:v>0.409601343832022</c:v>
                </c:pt>
                <c:pt idx="21">
                  <c:v>0.418001371391077</c:v>
                </c:pt>
                <c:pt idx="22">
                  <c:v>0.475001558398949</c:v>
                </c:pt>
              </c:numCache>
            </c:numRef>
          </c:xVal>
          <c:yVal>
            <c:numRef>
              <c:f>'SS Rod Radial Profile_20'!$C$32:$Y$32</c:f>
              <c:numCache>
                <c:formatCode>0.000</c:formatCode>
                <c:ptCount val="23"/>
                <c:pt idx="0">
                  <c:v>91.48061703703699</c:v>
                </c:pt>
                <c:pt idx="1">
                  <c:v>91.38942388888887</c:v>
                </c:pt>
                <c:pt idx="2">
                  <c:v>91.11584444444443</c:v>
                </c:pt>
                <c:pt idx="3">
                  <c:v>90.55792888888884</c:v>
                </c:pt>
                <c:pt idx="4">
                  <c:v>89.68154444444438</c:v>
                </c:pt>
                <c:pt idx="5">
                  <c:v>88.48693388888888</c:v>
                </c:pt>
                <c:pt idx="6">
                  <c:v>86.97574722222221</c:v>
                </c:pt>
                <c:pt idx="7">
                  <c:v>85.14927166666666</c:v>
                </c:pt>
                <c:pt idx="8">
                  <c:v>83.0084194444444</c:v>
                </c:pt>
                <c:pt idx="9">
                  <c:v>80.55384111111108</c:v>
                </c:pt>
                <c:pt idx="10">
                  <c:v>77.78600777777778</c:v>
                </c:pt>
                <c:pt idx="11">
                  <c:v>74.7052661111111</c:v>
                </c:pt>
                <c:pt idx="12">
                  <c:v>71.31187499999997</c:v>
                </c:pt>
                <c:pt idx="13">
                  <c:v>67.60602888888886</c:v>
                </c:pt>
                <c:pt idx="14">
                  <c:v>63.58787277777778</c:v>
                </c:pt>
                <c:pt idx="15">
                  <c:v>59.25751666666662</c:v>
                </c:pt>
                <c:pt idx="16">
                  <c:v>54.61504166666663</c:v>
                </c:pt>
                <c:pt idx="17">
                  <c:v>49.66050611111105</c:v>
                </c:pt>
                <c:pt idx="18">
                  <c:v>44.39395222222218</c:v>
                </c:pt>
                <c:pt idx="19">
                  <c:v>38.81540611111107</c:v>
                </c:pt>
                <c:pt idx="20">
                  <c:v>32.92779611111106</c:v>
                </c:pt>
                <c:pt idx="21">
                  <c:v>5.59249222222219</c:v>
                </c:pt>
                <c:pt idx="22">
                  <c:v>0.0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'SS Rod Radial Profile_20'!$B$33</c:f>
              <c:strCache>
                <c:ptCount val="1"/>
                <c:pt idx="0">
                  <c:v>Implicit SS</c:v>
                </c:pt>
              </c:strCache>
            </c:strRef>
          </c:tx>
          <c:spPr>
            <a:ln w="28800">
              <a:noFill/>
            </a:ln>
          </c:spPr>
          <c:marker>
            <c:symbol val="triangle"/>
            <c:size val="7"/>
          </c:marker>
          <c:xVal>
            <c:numRef>
              <c:f>'SS Rod Radial Profile_20'!$C$30:$Y$30</c:f>
              <c:numCache>
                <c:formatCode>0.000</c:formatCode>
                <c:ptCount val="23"/>
                <c:pt idx="0">
                  <c:v>0.0</c:v>
                </c:pt>
                <c:pt idx="1">
                  <c:v>0.0148529173234228</c:v>
                </c:pt>
                <c:pt idx="2">
                  <c:v>0.0332121327993576</c:v>
                </c:pt>
                <c:pt idx="3">
                  <c:v>0.0535529549998282</c:v>
                </c:pt>
                <c:pt idx="4">
                  <c:v>0.0742645866171139</c:v>
                </c:pt>
                <c:pt idx="5">
                  <c:v>0.0951050749101948</c:v>
                </c:pt>
                <c:pt idx="6">
                  <c:v>0.116004992711531</c:v>
                </c:pt>
                <c:pt idx="7">
                  <c:v>0.136937131583792</c:v>
                </c:pt>
                <c:pt idx="8">
                  <c:v>0.157888676892477</c:v>
                </c:pt>
                <c:pt idx="9">
                  <c:v>0.178852808720978</c:v>
                </c:pt>
                <c:pt idx="10">
                  <c:v>0.199825565671599</c:v>
                </c:pt>
                <c:pt idx="11">
                  <c:v>0.220804490028241</c:v>
                </c:pt>
                <c:pt idx="12">
                  <c:v>0.241787976436701</c:v>
                </c:pt>
                <c:pt idx="13">
                  <c:v>0.262774932012442</c:v>
                </c:pt>
                <c:pt idx="14">
                  <c:v>0.283764587027695</c:v>
                </c:pt>
                <c:pt idx="15">
                  <c:v>0.304756383722997</c:v>
                </c:pt>
                <c:pt idx="16">
                  <c:v>0.325749908059701</c:v>
                </c:pt>
                <c:pt idx="17">
                  <c:v>0.346744846239934</c:v>
                </c:pt>
                <c:pt idx="18">
                  <c:v>0.367740956107794</c:v>
                </c:pt>
                <c:pt idx="19">
                  <c:v>0.38873804781145</c:v>
                </c:pt>
                <c:pt idx="20">
                  <c:v>0.409601343832022</c:v>
                </c:pt>
                <c:pt idx="21">
                  <c:v>0.418001371391077</c:v>
                </c:pt>
                <c:pt idx="22">
                  <c:v>0.475001558398949</c:v>
                </c:pt>
              </c:numCache>
            </c:numRef>
          </c:xVal>
          <c:yVal>
            <c:numRef>
              <c:f>'SS Rod Radial Profile_20'!$C$33:$Y$33</c:f>
              <c:numCache>
                <c:formatCode>0.000</c:formatCode>
                <c:ptCount val="23"/>
                <c:pt idx="0">
                  <c:v>91.63475740740738</c:v>
                </c:pt>
                <c:pt idx="1">
                  <c:v>91.54336444444444</c:v>
                </c:pt>
                <c:pt idx="2">
                  <c:v>91.26918555555557</c:v>
                </c:pt>
                <c:pt idx="3">
                  <c:v>90.71005055555557</c:v>
                </c:pt>
                <c:pt idx="4">
                  <c:v>89.83176000000001</c:v>
                </c:pt>
                <c:pt idx="5">
                  <c:v>88.63456888888891</c:v>
                </c:pt>
                <c:pt idx="6">
                  <c:v>87.1201477777778</c:v>
                </c:pt>
                <c:pt idx="7">
                  <c:v>85.28980666666668</c:v>
                </c:pt>
                <c:pt idx="8">
                  <c:v>83.144485</c:v>
                </c:pt>
                <c:pt idx="9">
                  <c:v>80.68486222222222</c:v>
                </c:pt>
                <c:pt idx="10">
                  <c:v>77.91144222222222</c:v>
                </c:pt>
                <c:pt idx="11">
                  <c:v>74.8246077777778</c:v>
                </c:pt>
                <c:pt idx="12">
                  <c:v>71.42465611111113</c:v>
                </c:pt>
                <c:pt idx="13">
                  <c:v>67.7118222222222</c:v>
                </c:pt>
                <c:pt idx="14">
                  <c:v>63.6862966666667</c:v>
                </c:pt>
                <c:pt idx="15">
                  <c:v>59.34823444444444</c:v>
                </c:pt>
                <c:pt idx="16">
                  <c:v>54.69776444444442</c:v>
                </c:pt>
                <c:pt idx="17">
                  <c:v>49.73499388888892</c:v>
                </c:pt>
                <c:pt idx="18">
                  <c:v>44.46001499999997</c:v>
                </c:pt>
                <c:pt idx="19">
                  <c:v>38.87290611111111</c:v>
                </c:pt>
                <c:pt idx="20">
                  <c:v>32.97664833333335</c:v>
                </c:pt>
                <c:pt idx="21">
                  <c:v>5.600963333333324</c:v>
                </c:pt>
                <c:pt idx="22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'SS Rod Radial Profile_20'!$B$34</c:f>
              <c:strCache>
                <c:ptCount val="1"/>
                <c:pt idx="0">
                  <c:v>Implicit Trans</c:v>
                </c:pt>
              </c:strCache>
            </c:strRef>
          </c:tx>
          <c:spPr>
            <a:ln w="28800">
              <a:noFill/>
            </a:ln>
          </c:spPr>
          <c:marker>
            <c:symbol val="x"/>
            <c:size val="7"/>
          </c:marker>
          <c:xVal>
            <c:numRef>
              <c:f>'SS Rod Radial Profile_20'!$C$30:$Y$30</c:f>
              <c:numCache>
                <c:formatCode>0.000</c:formatCode>
                <c:ptCount val="23"/>
                <c:pt idx="0">
                  <c:v>0.0</c:v>
                </c:pt>
                <c:pt idx="1">
                  <c:v>0.0148529173234228</c:v>
                </c:pt>
                <c:pt idx="2">
                  <c:v>0.0332121327993576</c:v>
                </c:pt>
                <c:pt idx="3">
                  <c:v>0.0535529549998282</c:v>
                </c:pt>
                <c:pt idx="4">
                  <c:v>0.0742645866171139</c:v>
                </c:pt>
                <c:pt idx="5">
                  <c:v>0.0951050749101948</c:v>
                </c:pt>
                <c:pt idx="6">
                  <c:v>0.116004992711531</c:v>
                </c:pt>
                <c:pt idx="7">
                  <c:v>0.136937131583792</c:v>
                </c:pt>
                <c:pt idx="8">
                  <c:v>0.157888676892477</c:v>
                </c:pt>
                <c:pt idx="9">
                  <c:v>0.178852808720978</c:v>
                </c:pt>
                <c:pt idx="10">
                  <c:v>0.199825565671599</c:v>
                </c:pt>
                <c:pt idx="11">
                  <c:v>0.220804490028241</c:v>
                </c:pt>
                <c:pt idx="12">
                  <c:v>0.241787976436701</c:v>
                </c:pt>
                <c:pt idx="13">
                  <c:v>0.262774932012442</c:v>
                </c:pt>
                <c:pt idx="14">
                  <c:v>0.283764587027695</c:v>
                </c:pt>
                <c:pt idx="15">
                  <c:v>0.304756383722997</c:v>
                </c:pt>
                <c:pt idx="16">
                  <c:v>0.325749908059701</c:v>
                </c:pt>
                <c:pt idx="17">
                  <c:v>0.346744846239934</c:v>
                </c:pt>
                <c:pt idx="18">
                  <c:v>0.367740956107794</c:v>
                </c:pt>
                <c:pt idx="19">
                  <c:v>0.38873804781145</c:v>
                </c:pt>
                <c:pt idx="20">
                  <c:v>0.409601343832022</c:v>
                </c:pt>
                <c:pt idx="21">
                  <c:v>0.418001371391077</c:v>
                </c:pt>
                <c:pt idx="22">
                  <c:v>0.475001558398949</c:v>
                </c:pt>
              </c:numCache>
            </c:numRef>
          </c:xVal>
          <c:yVal>
            <c:numRef>
              <c:f>'SS Rod Radial Profile_20'!$C$34:$Y$34</c:f>
              <c:numCache>
                <c:formatCode>0.000</c:formatCode>
                <c:ptCount val="23"/>
                <c:pt idx="0">
                  <c:v>91.45266962962965</c:v>
                </c:pt>
                <c:pt idx="1">
                  <c:v>91.3615127777778</c:v>
                </c:pt>
                <c:pt idx="2">
                  <c:v>91.08804222222224</c:v>
                </c:pt>
                <c:pt idx="3">
                  <c:v>90.53034777777782</c:v>
                </c:pt>
                <c:pt idx="4">
                  <c:v>89.65430888888895</c:v>
                </c:pt>
                <c:pt idx="5">
                  <c:v>88.4601661111111</c:v>
                </c:pt>
                <c:pt idx="6">
                  <c:v>86.94956666666668</c:v>
                </c:pt>
                <c:pt idx="7">
                  <c:v>85.1237916666667</c:v>
                </c:pt>
                <c:pt idx="8">
                  <c:v>82.98374944444447</c:v>
                </c:pt>
                <c:pt idx="9">
                  <c:v>80.53008611111112</c:v>
                </c:pt>
                <c:pt idx="10">
                  <c:v>77.76326555555556</c:v>
                </c:pt>
                <c:pt idx="11">
                  <c:v>74.68362888888893</c:v>
                </c:pt>
                <c:pt idx="12">
                  <c:v>71.29142722222222</c:v>
                </c:pt>
                <c:pt idx="13">
                  <c:v>67.58684777777781</c:v>
                </c:pt>
                <c:pt idx="14">
                  <c:v>63.5700277777778</c:v>
                </c:pt>
                <c:pt idx="15">
                  <c:v>59.24106888888894</c:v>
                </c:pt>
                <c:pt idx="16">
                  <c:v>54.60004333333334</c:v>
                </c:pt>
                <c:pt idx="17">
                  <c:v>49.64700166666666</c:v>
                </c:pt>
                <c:pt idx="18">
                  <c:v>44.38197500000001</c:v>
                </c:pt>
                <c:pt idx="19">
                  <c:v>38.80498166666668</c:v>
                </c:pt>
                <c:pt idx="20">
                  <c:v>32.9189388888889</c:v>
                </c:pt>
                <c:pt idx="21">
                  <c:v>5.590956666666658</c:v>
                </c:pt>
                <c:pt idx="22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862696"/>
        <c:axId val="2054868488"/>
      </c:scatterChart>
      <c:valAx>
        <c:axId val="2054862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Radius [cm]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54868488"/>
        <c:crossesAt val="0.0"/>
        <c:crossBetween val="midCat"/>
      </c:valAx>
      <c:valAx>
        <c:axId val="20548684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Temperature [C]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54862696"/>
        <c:crossesAt val="0.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'SS Rod Radial Profile_20'!$AB$31:$AB$31</c:f>
              <c:strCache>
                <c:ptCount val="1"/>
                <c:pt idx="0">
                  <c:v>Semi-implicit Trans</c:v>
                </c:pt>
              </c:strCache>
            </c:strRef>
          </c:tx>
          <c:spPr>
            <a:ln w="28800">
              <a:solidFill>
                <a:srgbClr val="000000"/>
              </a:solidFill>
              <a:round/>
            </a:ln>
          </c:spPr>
          <c:marker>
            <c:symbol val="diamond"/>
            <c:size val="7"/>
          </c:marker>
          <c:xVal>
            <c:numRef>
              <c:f>'SS Rod Radial Profile_20'!$C$30:$M$30</c:f>
              <c:numCache>
                <c:formatCode>0.000</c:formatCode>
                <c:ptCount val="11"/>
                <c:pt idx="0">
                  <c:v>0.0</c:v>
                </c:pt>
                <c:pt idx="1">
                  <c:v>0.0148529173234228</c:v>
                </c:pt>
                <c:pt idx="2">
                  <c:v>0.0332121327993576</c:v>
                </c:pt>
                <c:pt idx="3">
                  <c:v>0.0535529549998282</c:v>
                </c:pt>
                <c:pt idx="4">
                  <c:v>0.0742645866171139</c:v>
                </c:pt>
                <c:pt idx="5">
                  <c:v>0.0951050749101948</c:v>
                </c:pt>
                <c:pt idx="6">
                  <c:v>0.116004992711531</c:v>
                </c:pt>
                <c:pt idx="7">
                  <c:v>0.136937131583792</c:v>
                </c:pt>
                <c:pt idx="8">
                  <c:v>0.157888676892477</c:v>
                </c:pt>
                <c:pt idx="9">
                  <c:v>0.178852808720978</c:v>
                </c:pt>
                <c:pt idx="10">
                  <c:v>0.199825565671599</c:v>
                </c:pt>
              </c:numCache>
            </c:numRef>
          </c:xVal>
          <c:yVal>
            <c:numRef>
              <c:f>'SS Rod Radial Profile_20'!$R$31:$AD$31</c:f>
              <c:numCache>
                <c:formatCode>0.000</c:formatCode>
                <c:ptCount val="13"/>
                <c:pt idx="0">
                  <c:v>59.61237456816043</c:v>
                </c:pt>
                <c:pt idx="1">
                  <c:v>54.94191802799745</c:v>
                </c:pt>
                <c:pt idx="2">
                  <c:v>49.96009771849005</c:v>
                </c:pt>
                <c:pt idx="3">
                  <c:v>44.66691363963784</c:v>
                </c:pt>
                <c:pt idx="4">
                  <c:v>39.0623657914423</c:v>
                </c:pt>
                <c:pt idx="5">
                  <c:v>33.18576308171949</c:v>
                </c:pt>
                <c:pt idx="6">
                  <c:v>5.814058678433464</c:v>
                </c:pt>
                <c:pt idx="7">
                  <c:v>0.0</c:v>
                </c:pt>
                <c:pt idx="9">
                  <c:v>-3.963728480869044</c:v>
                </c:pt>
                <c:pt idx="10" formatCode="General">
                  <c:v>0.0</c:v>
                </c:pt>
                <c:pt idx="11" formatCode="0.00">
                  <c:v>-0.902794254601829</c:v>
                </c:pt>
                <c:pt idx="12" formatCode="0.00">
                  <c:v>-0.916146460413898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'SS Rod Radial Profile_20'!$AB$32:$AB$32</c:f>
              <c:strCache>
                <c:ptCount val="1"/>
                <c:pt idx="0">
                  <c:v>Implicit SS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square"/>
            <c:size val="7"/>
          </c:marker>
          <c:xVal>
            <c:numRef>
              <c:f>'SS Rod Radial Profile_20'!$C$30:$M$30</c:f>
              <c:numCache>
                <c:formatCode>0.000</c:formatCode>
                <c:ptCount val="11"/>
                <c:pt idx="0">
                  <c:v>0.0</c:v>
                </c:pt>
                <c:pt idx="1">
                  <c:v>0.0148529173234228</c:v>
                </c:pt>
                <c:pt idx="2">
                  <c:v>0.0332121327993576</c:v>
                </c:pt>
                <c:pt idx="3">
                  <c:v>0.0535529549998282</c:v>
                </c:pt>
                <c:pt idx="4">
                  <c:v>0.0742645866171139</c:v>
                </c:pt>
                <c:pt idx="5">
                  <c:v>0.0951050749101948</c:v>
                </c:pt>
                <c:pt idx="6">
                  <c:v>0.116004992711531</c:v>
                </c:pt>
                <c:pt idx="7">
                  <c:v>0.136937131583792</c:v>
                </c:pt>
                <c:pt idx="8">
                  <c:v>0.157888676892477</c:v>
                </c:pt>
                <c:pt idx="9">
                  <c:v>0.178852808720978</c:v>
                </c:pt>
                <c:pt idx="10">
                  <c:v>0.199825565671599</c:v>
                </c:pt>
              </c:numCache>
            </c:numRef>
          </c:xVal>
          <c:yVal>
            <c:numRef>
              <c:f>'SS Rod Radial Profile_20'!$R$32:$AD$32</c:f>
              <c:numCache>
                <c:formatCode>0.000</c:formatCode>
                <c:ptCount val="13"/>
                <c:pt idx="0">
                  <c:v>59.25751666666662</c:v>
                </c:pt>
                <c:pt idx="1">
                  <c:v>54.61504166666663</c:v>
                </c:pt>
                <c:pt idx="2">
                  <c:v>49.66050611111105</c:v>
                </c:pt>
                <c:pt idx="3">
                  <c:v>44.39395222222218</c:v>
                </c:pt>
                <c:pt idx="4">
                  <c:v>38.81540611111107</c:v>
                </c:pt>
                <c:pt idx="5">
                  <c:v>32.92779611111106</c:v>
                </c:pt>
                <c:pt idx="6">
                  <c:v>5.59249222222219</c:v>
                </c:pt>
                <c:pt idx="7">
                  <c:v>0.0</c:v>
                </c:pt>
                <c:pt idx="9">
                  <c:v>-4.41120801905893</c:v>
                </c:pt>
                <c:pt idx="10" formatCode="General">
                  <c:v>0.0</c:v>
                </c:pt>
                <c:pt idx="11" formatCode="0.00">
                  <c:v>-0.748653884231444</c:v>
                </c:pt>
                <c:pt idx="12" formatCode="0.00">
                  <c:v>-0.76220590485832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900184"/>
        <c:axId val="2054903512"/>
      </c:scatterChart>
      <c:valAx>
        <c:axId val="2054900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54903512"/>
        <c:crossesAt val="0.0"/>
        <c:crossBetween val="midCat"/>
      </c:valAx>
      <c:valAx>
        <c:axId val="20549035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54900184"/>
        <c:crossesAt val="0.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Fuel_Centerline_Temperature!$L$8:$L$8</c:f>
              <c:strCache>
                <c:ptCount val="1"/>
                <c:pt idx="0">
                  <c:v>Semi-implicit Trans</c:v>
                </c:pt>
              </c:strCache>
            </c:strRef>
          </c:tx>
          <c:spPr>
            <a:ln w="28800">
              <a:noFill/>
            </a:ln>
          </c:spPr>
          <c:marker>
            <c:symbol val="diamond"/>
            <c:size val="7"/>
          </c:marker>
          <c:xVal>
            <c:numRef>
              <c:f>Fuel_Centerline_Temperature!$E$9:$E$11</c:f>
              <c:numCache>
                <c:formatCode>General</c:formatCode>
                <c:ptCount val="3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</c:numCache>
            </c:numRef>
          </c:xVal>
          <c:yVal>
            <c:numRef>
              <c:f>Fuel_Centerline_Temperature!$L$9:$L$11</c:f>
              <c:numCache>
                <c:formatCode>0.00%</c:formatCode>
                <c:ptCount val="3"/>
                <c:pt idx="0">
                  <c:v>0.0445657570384807</c:v>
                </c:pt>
                <c:pt idx="1">
                  <c:v>0.0206638628818788</c:v>
                </c:pt>
                <c:pt idx="2">
                  <c:v>0.00977225501829393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Fuel_Centerline_Temperature!$M$8:$M$8</c:f>
              <c:strCache>
                <c:ptCount val="1"/>
                <c:pt idx="0">
                  <c:v>Implicit SS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7"/>
          </c:marker>
          <c:xVal>
            <c:numRef>
              <c:f>Fuel_Centerline_Temperature!$E$9:$E$11</c:f>
              <c:numCache>
                <c:formatCode>General</c:formatCode>
                <c:ptCount val="3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</c:numCache>
            </c:numRef>
          </c:xVal>
          <c:yVal>
            <c:numRef>
              <c:f>Fuel_Centerline_Temperature!$M$9:$M$11</c:f>
              <c:numCache>
                <c:formatCode>0.00%</c:formatCode>
                <c:ptCount val="3"/>
                <c:pt idx="0">
                  <c:v>0.0425961133019778</c:v>
                </c:pt>
                <c:pt idx="1">
                  <c:v>0.0189159781339794</c:v>
                </c:pt>
                <c:pt idx="2">
                  <c:v>0.0100747704484626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Fuel_Centerline_Temperature!$N$8:$N$8</c:f>
              <c:strCache>
                <c:ptCount val="1"/>
                <c:pt idx="0">
                  <c:v>Implicit Trans</c:v>
                </c:pt>
              </c:strCache>
            </c:strRef>
          </c:tx>
          <c:spPr>
            <a:ln w="28800">
              <a:noFill/>
            </a:ln>
          </c:spPr>
          <c:marker>
            <c:symbol val="triangle"/>
            <c:size val="7"/>
          </c:marker>
          <c:xVal>
            <c:numRef>
              <c:f>Fuel_Centerline_Temperature!$E$9:$E$11</c:f>
              <c:numCache>
                <c:formatCode>General</c:formatCode>
                <c:ptCount val="3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</c:numCache>
            </c:numRef>
          </c:xVal>
          <c:yVal>
            <c:numRef>
              <c:f>Fuel_Centerline_Temperature!$N$9:$N$11</c:f>
              <c:numCache>
                <c:formatCode>0.00%</c:formatCode>
                <c:ptCount val="3"/>
                <c:pt idx="0">
                  <c:v>0.044896347895476</c:v>
                </c:pt>
                <c:pt idx="1">
                  <c:v>0.0209739293710846</c:v>
                </c:pt>
                <c:pt idx="2">
                  <c:v>0.0100747704484626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935384"/>
        <c:axId val="2054938872"/>
      </c:scatterChart>
      <c:valAx>
        <c:axId val="2054935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Radial Nodes in Fuel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54938872"/>
        <c:crosses val="autoZero"/>
        <c:crossBetween val="midCat"/>
      </c:valAx>
      <c:valAx>
        <c:axId val="20549388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 of</a:t>
                </a:r>
                <a:r>
                  <a:rPr lang="en-US" baseline="0"/>
                  <a:t> Temperature Difference</a:t>
                </a:r>
                <a:endParaRPr lang="en-US"/>
              </a:p>
            </c:rich>
          </c:tx>
          <c:layout/>
          <c:overlay val="0"/>
        </c:title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5493538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 paperSize="0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'SS Rod Radial Profile_5'!$L$39:$L$39</c:f>
              <c:strCache>
                <c:ptCount val="1"/>
                <c:pt idx="0">
                  <c:v>Semi-implicit Trans</c:v>
                </c:pt>
              </c:strCache>
            </c:strRef>
          </c:tx>
          <c:spPr>
            <a:ln w="28800">
              <a:solidFill>
                <a:srgbClr val="000000"/>
              </a:solidFill>
              <a:round/>
            </a:ln>
          </c:spPr>
          <c:marker>
            <c:symbol val="diamond"/>
            <c:size val="7"/>
          </c:marker>
          <c:xVal>
            <c:numRef>
              <c:f>'SS Rod Radial Profile_5'!$D$30:$I$30</c:f>
              <c:numCache>
                <c:formatCode>0.000</c:formatCode>
                <c:ptCount val="6"/>
                <c:pt idx="0">
                  <c:v>0.0643626417348321</c:v>
                </c:pt>
                <c:pt idx="1">
                  <c:v>0.14391924213055</c:v>
                </c:pt>
                <c:pt idx="2">
                  <c:v>0.232062804999256</c:v>
                </c:pt>
                <c:pt idx="3">
                  <c:v>0.321813208674162</c:v>
                </c:pt>
                <c:pt idx="4">
                  <c:v>0.409601343832022</c:v>
                </c:pt>
                <c:pt idx="5">
                  <c:v>0.418001371391077</c:v>
                </c:pt>
              </c:numCache>
            </c:numRef>
          </c:xVal>
          <c:yVal>
            <c:numRef>
              <c:f>'SS Rod Radial Profile_5'!$M$39:$W$39</c:f>
              <c:numCache>
                <c:formatCode>0.000%</c:formatCode>
                <c:ptCount val="11"/>
                <c:pt idx="0">
                  <c:v>0.0735436595188003</c:v>
                </c:pt>
                <c:pt idx="1">
                  <c:v>0.0731736131065268</c:v>
                </c:pt>
                <c:pt idx="2">
                  <c:v>0.0761704019327435</c:v>
                </c:pt>
                <c:pt idx="3">
                  <c:v>0.0818978639463782</c:v>
                </c:pt>
                <c:pt idx="4">
                  <c:v>0.0890809323966485</c:v>
                </c:pt>
                <c:pt idx="5">
                  <c:v>0.0735436595188003</c:v>
                </c:pt>
                <c:pt idx="6">
                  <c:v>0.0731736131065268</c:v>
                </c:pt>
                <c:pt idx="7">
                  <c:v>0.0761704019327435</c:v>
                </c:pt>
                <c:pt idx="8">
                  <c:v>0.0818978639463782</c:v>
                </c:pt>
                <c:pt idx="9">
                  <c:v>0.0965412466436486</c:v>
                </c:pt>
                <c:pt idx="10">
                  <c:v>0.0965412466436486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'SS Rod Radial Profile_5'!$L$41:$L$41</c:f>
              <c:strCache>
                <c:ptCount val="1"/>
                <c:pt idx="0">
                  <c:v>Implicit Trans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square"/>
            <c:size val="7"/>
          </c:marker>
          <c:xVal>
            <c:numRef>
              <c:f>'SS Rod Radial Profile_5'!$D$30:$I$30</c:f>
              <c:numCache>
                <c:formatCode>0.000</c:formatCode>
                <c:ptCount val="6"/>
                <c:pt idx="0">
                  <c:v>0.0643626417348321</c:v>
                </c:pt>
                <c:pt idx="1">
                  <c:v>0.14391924213055</c:v>
                </c:pt>
                <c:pt idx="2">
                  <c:v>0.232062804999256</c:v>
                </c:pt>
                <c:pt idx="3">
                  <c:v>0.321813208674162</c:v>
                </c:pt>
                <c:pt idx="4">
                  <c:v>0.409601343832022</c:v>
                </c:pt>
                <c:pt idx="5">
                  <c:v>0.418001371391077</c:v>
                </c:pt>
              </c:numCache>
            </c:numRef>
          </c:xVal>
          <c:yVal>
            <c:numRef>
              <c:f>'SS Rod Radial Profile_5'!$M$41:$W$41</c:f>
              <c:numCache>
                <c:formatCode>0.000%</c:formatCode>
                <c:ptCount val="11"/>
                <c:pt idx="0">
                  <c:v>0.0734323294145658</c:v>
                </c:pt>
                <c:pt idx="1">
                  <c:v>0.0730636928246767</c:v>
                </c:pt>
                <c:pt idx="2">
                  <c:v>0.0760643696265921</c:v>
                </c:pt>
                <c:pt idx="3">
                  <c:v>0.0817996264549408</c:v>
                </c:pt>
                <c:pt idx="4">
                  <c:v>0.0889945641346262</c:v>
                </c:pt>
                <c:pt idx="5">
                  <c:v>0.0734323294145658</c:v>
                </c:pt>
                <c:pt idx="6">
                  <c:v>0.0730636928246767</c:v>
                </c:pt>
                <c:pt idx="7">
                  <c:v>0.0760643696265921</c:v>
                </c:pt>
                <c:pt idx="8">
                  <c:v>0.0817996264549408</c:v>
                </c:pt>
                <c:pt idx="9">
                  <c:v>0.096470074162039</c:v>
                </c:pt>
                <c:pt idx="10">
                  <c:v>0.096470074162039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'SS Rod Radial Profile_5'!$L$40:$L$40</c:f>
              <c:strCache>
                <c:ptCount val="1"/>
                <c:pt idx="0">
                  <c:v>Implicit SS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triangle"/>
            <c:size val="7"/>
          </c:marker>
          <c:xVal>
            <c:numRef>
              <c:f>'SS Rod Radial Profile_5'!$D$30:$I$30</c:f>
              <c:numCache>
                <c:formatCode>0.000</c:formatCode>
                <c:ptCount val="6"/>
                <c:pt idx="0">
                  <c:v>0.0643626417348321</c:v>
                </c:pt>
                <c:pt idx="1">
                  <c:v>0.14391924213055</c:v>
                </c:pt>
                <c:pt idx="2">
                  <c:v>0.232062804999256</c:v>
                </c:pt>
                <c:pt idx="3">
                  <c:v>0.321813208674162</c:v>
                </c:pt>
                <c:pt idx="4">
                  <c:v>0.409601343832022</c:v>
                </c:pt>
                <c:pt idx="5">
                  <c:v>0.418001371391077</c:v>
                </c:pt>
              </c:numCache>
            </c:numRef>
          </c:xVal>
          <c:yVal>
            <c:numRef>
              <c:f>'SS Rod Radial Profile_5'!$M$40:$W$40</c:f>
              <c:numCache>
                <c:formatCode>0.000%</c:formatCode>
                <c:ptCount val="11"/>
                <c:pt idx="0">
                  <c:v>0.0742070401811338</c:v>
                </c:pt>
                <c:pt idx="1">
                  <c:v>0.073828597563938</c:v>
                </c:pt>
                <c:pt idx="2">
                  <c:v>0.0768022328899124</c:v>
                </c:pt>
                <c:pt idx="3">
                  <c:v>0.0824832536182962</c:v>
                </c:pt>
                <c:pt idx="4">
                  <c:v>0.0895956065833617</c:v>
                </c:pt>
                <c:pt idx="5">
                  <c:v>0.0742070401811338</c:v>
                </c:pt>
                <c:pt idx="6">
                  <c:v>0.073828597563938</c:v>
                </c:pt>
                <c:pt idx="7">
                  <c:v>0.0768022328899124</c:v>
                </c:pt>
                <c:pt idx="8">
                  <c:v>0.0824832536182962</c:v>
                </c:pt>
                <c:pt idx="9">
                  <c:v>0.0969653927071159</c:v>
                </c:pt>
                <c:pt idx="10">
                  <c:v>0.0969653927071159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376008"/>
        <c:axId val="2054379336"/>
      </c:scatterChart>
      <c:valAx>
        <c:axId val="2054376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54379336"/>
        <c:crossesAt val="0.0"/>
        <c:crossBetween val="midCat"/>
      </c:valAx>
      <c:valAx>
        <c:axId val="20543793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54376008"/>
        <c:crossesAt val="0.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Temperature Profile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'SS Rod Radial Profile_5'!$B$38</c:f>
              <c:strCache>
                <c:ptCount val="1"/>
                <c:pt idx="0">
                  <c:v>Analytical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diamond"/>
            <c:size val="7"/>
          </c:marker>
          <c:xVal>
            <c:numRef>
              <c:f>'SS Rod Radial Profile_5'!$C$37:$J$37</c:f>
              <c:numCache>
                <c:formatCode>0.00000</c:formatCode>
                <c:ptCount val="8"/>
                <c:pt idx="0">
                  <c:v>0.0</c:v>
                </c:pt>
                <c:pt idx="1">
                  <c:v>0.0643626417348321</c:v>
                </c:pt>
                <c:pt idx="2">
                  <c:v>0.14391924213055</c:v>
                </c:pt>
                <c:pt idx="3">
                  <c:v>0.232062804999256</c:v>
                </c:pt>
                <c:pt idx="4">
                  <c:v>0.321813208674162</c:v>
                </c:pt>
                <c:pt idx="5">
                  <c:v>0.409601343832022</c:v>
                </c:pt>
                <c:pt idx="6">
                  <c:v>0.418001371391077</c:v>
                </c:pt>
                <c:pt idx="7">
                  <c:v>0.475001558398949</c:v>
                </c:pt>
              </c:numCache>
            </c:numRef>
          </c:xVal>
          <c:yVal>
            <c:numRef>
              <c:f>'SS Rod Radial Profile_5'!$C$38:$J$38</c:f>
              <c:numCache>
                <c:formatCode>0.000</c:formatCode>
                <c:ptCount val="8"/>
                <c:pt idx="0">
                  <c:v>387.281691753449</c:v>
                </c:pt>
                <c:pt idx="1">
                  <c:v>385.8200118362498</c:v>
                </c:pt>
                <c:pt idx="2">
                  <c:v>379.9732921674529</c:v>
                </c:pt>
                <c:pt idx="3">
                  <c:v>368.2798528298591</c:v>
                </c:pt>
                <c:pt idx="4">
                  <c:v>350.7396938234682</c:v>
                </c:pt>
                <c:pt idx="5">
                  <c:v>328.0840435435297</c:v>
                </c:pt>
                <c:pt idx="6">
                  <c:v>300.7123391402437</c:v>
                </c:pt>
                <c:pt idx="7">
                  <c:v>294.8982804618102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'SS Rod Radial Profile_5'!$B$39</c:f>
              <c:strCache>
                <c:ptCount val="1"/>
                <c:pt idx="0">
                  <c:v>Semi-implicit Trans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7"/>
          </c:marker>
          <c:xVal>
            <c:numRef>
              <c:f>'SS Rod Radial Profile_5'!$C$37:$J$37</c:f>
              <c:numCache>
                <c:formatCode>0.00000</c:formatCode>
                <c:ptCount val="8"/>
                <c:pt idx="0">
                  <c:v>0.0</c:v>
                </c:pt>
                <c:pt idx="1">
                  <c:v>0.0643626417348321</c:v>
                </c:pt>
                <c:pt idx="2">
                  <c:v>0.14391924213055</c:v>
                </c:pt>
                <c:pt idx="3">
                  <c:v>0.232062804999256</c:v>
                </c:pt>
                <c:pt idx="4">
                  <c:v>0.321813208674162</c:v>
                </c:pt>
                <c:pt idx="5">
                  <c:v>0.409601343832022</c:v>
                </c:pt>
                <c:pt idx="6">
                  <c:v>0.418001371391077</c:v>
                </c:pt>
                <c:pt idx="7">
                  <c:v>0.475001558398949</c:v>
                </c:pt>
              </c:numCache>
            </c:numRef>
          </c:xVal>
          <c:yVal>
            <c:numRef>
              <c:f>'SS Rod Radial Profile_5'!$C$39:$J$39</c:f>
              <c:numCache>
                <c:formatCode>0.000</c:formatCode>
                <c:ptCount val="8"/>
                <c:pt idx="0">
                  <c:v>415.7638046296296</c:v>
                </c:pt>
                <c:pt idx="1">
                  <c:v>414.0518561111111</c:v>
                </c:pt>
                <c:pt idx="2">
                  <c:v>408.9160105555556</c:v>
                </c:pt>
                <c:pt idx="3">
                  <c:v>398.4411861111112</c:v>
                </c:pt>
                <c:pt idx="4">
                  <c:v>381.9839127777778</c:v>
                </c:pt>
                <c:pt idx="5">
                  <c:v>359.7576861111111</c:v>
                </c:pt>
                <c:pt idx="6">
                  <c:v>332.9765800000001</c:v>
                </c:pt>
                <c:pt idx="7">
                  <c:v>327.49753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'SS Rod Radial Profile_5'!$B$40</c:f>
              <c:strCache>
                <c:ptCount val="1"/>
                <c:pt idx="0">
                  <c:v>Implicit SS</c:v>
                </c:pt>
              </c:strCache>
            </c:strRef>
          </c:tx>
          <c:spPr>
            <a:ln w="28800">
              <a:noFill/>
            </a:ln>
          </c:spPr>
          <c:marker>
            <c:symbol val="triangle"/>
            <c:size val="7"/>
          </c:marker>
          <c:xVal>
            <c:numRef>
              <c:f>'SS Rod Radial Profile_5'!$C$37:$J$37</c:f>
              <c:numCache>
                <c:formatCode>0.00000</c:formatCode>
                <c:ptCount val="8"/>
                <c:pt idx="0">
                  <c:v>0.0</c:v>
                </c:pt>
                <c:pt idx="1">
                  <c:v>0.0643626417348321</c:v>
                </c:pt>
                <c:pt idx="2">
                  <c:v>0.14391924213055</c:v>
                </c:pt>
                <c:pt idx="3">
                  <c:v>0.232062804999256</c:v>
                </c:pt>
                <c:pt idx="4">
                  <c:v>0.321813208674162</c:v>
                </c:pt>
                <c:pt idx="5">
                  <c:v>0.409601343832022</c:v>
                </c:pt>
                <c:pt idx="6">
                  <c:v>0.418001371391077</c:v>
                </c:pt>
                <c:pt idx="7">
                  <c:v>0.475001558398949</c:v>
                </c:pt>
              </c:numCache>
            </c:numRef>
          </c:xVal>
          <c:yVal>
            <c:numRef>
              <c:f>'SS Rod Radial Profile_5'!$C$40:$J$40</c:f>
              <c:numCache>
                <c:formatCode>0.000</c:formatCode>
                <c:ptCount val="8"/>
                <c:pt idx="0">
                  <c:v>416.0207198148147</c:v>
                </c:pt>
                <c:pt idx="1">
                  <c:v>414.3045622222221</c:v>
                </c:pt>
                <c:pt idx="2">
                  <c:v>409.1560894444444</c:v>
                </c:pt>
                <c:pt idx="3">
                  <c:v>398.6567733333332</c:v>
                </c:pt>
                <c:pt idx="4">
                  <c:v>382.1644294444444</c:v>
                </c:pt>
                <c:pt idx="5">
                  <c:v>359.8968416666665</c:v>
                </c:pt>
                <c:pt idx="6">
                  <c:v>333.0626572222221</c:v>
                </c:pt>
                <c:pt idx="7">
                  <c:v>327.5724827777777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705640"/>
        <c:axId val="2019711384"/>
      </c:scatterChart>
      <c:valAx>
        <c:axId val="2019705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Radius [cm]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19711384"/>
        <c:crossesAt val="0.0"/>
        <c:crossBetween val="midCat"/>
      </c:valAx>
      <c:valAx>
        <c:axId val="20197113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Temperature [C]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19705640"/>
        <c:crossesAt val="0.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Relative Temperature Difference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'SS Rod Radial Profile_5'!$B$31</c:f>
              <c:strCache>
                <c:ptCount val="1"/>
                <c:pt idx="0">
                  <c:v>Analytical</c:v>
                </c:pt>
              </c:strCache>
            </c:strRef>
          </c:tx>
          <c:spPr>
            <a:ln w="28800">
              <a:solidFill>
                <a:srgbClr val="000000"/>
              </a:solidFill>
              <a:round/>
            </a:ln>
          </c:spPr>
          <c:marker>
            <c:symbol val="diamond"/>
            <c:size val="7"/>
          </c:marker>
          <c:xVal>
            <c:numRef>
              <c:f>'SS Rod Radial Profile_5'!$C$30:$J$30</c:f>
              <c:numCache>
                <c:formatCode>0.000</c:formatCode>
                <c:ptCount val="8"/>
                <c:pt idx="0">
                  <c:v>0.0</c:v>
                </c:pt>
                <c:pt idx="1">
                  <c:v>0.0643626417348321</c:v>
                </c:pt>
                <c:pt idx="2">
                  <c:v>0.14391924213055</c:v>
                </c:pt>
                <c:pt idx="3">
                  <c:v>0.232062804999256</c:v>
                </c:pt>
                <c:pt idx="4">
                  <c:v>0.321813208674162</c:v>
                </c:pt>
                <c:pt idx="5">
                  <c:v>0.409601343832022</c:v>
                </c:pt>
                <c:pt idx="6">
                  <c:v>0.418001371391077</c:v>
                </c:pt>
                <c:pt idx="7">
                  <c:v>0.475001558398949</c:v>
                </c:pt>
              </c:numCache>
            </c:numRef>
          </c:xVal>
          <c:yVal>
            <c:numRef>
              <c:f>'SS Rod Radial Profile_5'!$C$31:$J$31</c:f>
              <c:numCache>
                <c:formatCode>0.000</c:formatCode>
                <c:ptCount val="8"/>
                <c:pt idx="0">
                  <c:v>92.38341129163882</c:v>
                </c:pt>
                <c:pt idx="1">
                  <c:v>90.9217313744396</c:v>
                </c:pt>
                <c:pt idx="2">
                  <c:v>85.07501170564271</c:v>
                </c:pt>
                <c:pt idx="3">
                  <c:v>73.38157236804895</c:v>
                </c:pt>
                <c:pt idx="4">
                  <c:v>55.84141336165801</c:v>
                </c:pt>
                <c:pt idx="5">
                  <c:v>33.18576308171949</c:v>
                </c:pt>
                <c:pt idx="6">
                  <c:v>5.814058678433464</c:v>
                </c:pt>
                <c:pt idx="7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'SS Rod Radial Profile_5'!$B$32</c:f>
              <c:strCache>
                <c:ptCount val="1"/>
                <c:pt idx="0">
                  <c:v>Semi-implicit Trans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7"/>
          </c:marker>
          <c:xVal>
            <c:numRef>
              <c:f>'SS Rod Radial Profile_5'!$C$30:$J$30</c:f>
              <c:numCache>
                <c:formatCode>0.000</c:formatCode>
                <c:ptCount val="8"/>
                <c:pt idx="0">
                  <c:v>0.0</c:v>
                </c:pt>
                <c:pt idx="1">
                  <c:v>0.0643626417348321</c:v>
                </c:pt>
                <c:pt idx="2">
                  <c:v>0.14391924213055</c:v>
                </c:pt>
                <c:pt idx="3">
                  <c:v>0.232062804999256</c:v>
                </c:pt>
                <c:pt idx="4">
                  <c:v>0.321813208674162</c:v>
                </c:pt>
                <c:pt idx="5">
                  <c:v>0.409601343832022</c:v>
                </c:pt>
                <c:pt idx="6">
                  <c:v>0.418001371391077</c:v>
                </c:pt>
                <c:pt idx="7">
                  <c:v>0.475001558398949</c:v>
                </c:pt>
              </c:numCache>
            </c:numRef>
          </c:xVal>
          <c:yVal>
            <c:numRef>
              <c:f>'SS Rod Radial Profile_5'!$C$32:$J$32</c:f>
              <c:numCache>
                <c:formatCode>0.000</c:formatCode>
                <c:ptCount val="8"/>
                <c:pt idx="0">
                  <c:v>88.2662746296296</c:v>
                </c:pt>
                <c:pt idx="1">
                  <c:v>86.5543261111111</c:v>
                </c:pt>
                <c:pt idx="2">
                  <c:v>81.41848055555556</c:v>
                </c:pt>
                <c:pt idx="3">
                  <c:v>70.9436561111111</c:v>
                </c:pt>
                <c:pt idx="4">
                  <c:v>54.48638277777775</c:v>
                </c:pt>
                <c:pt idx="5">
                  <c:v>32.26015611111108</c:v>
                </c:pt>
                <c:pt idx="6">
                  <c:v>5.479050000000016</c:v>
                </c:pt>
                <c:pt idx="7">
                  <c:v>0.0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'SS Rod Radial Profile_5'!$B$33</c:f>
              <c:strCache>
                <c:ptCount val="1"/>
                <c:pt idx="0">
                  <c:v>Implicit SS</c:v>
                </c:pt>
              </c:strCache>
            </c:strRef>
          </c:tx>
          <c:spPr>
            <a:ln w="28800">
              <a:noFill/>
            </a:ln>
          </c:spPr>
          <c:marker>
            <c:symbol val="triangle"/>
            <c:size val="7"/>
          </c:marker>
          <c:xVal>
            <c:numRef>
              <c:f>'SS Rod Radial Profile_5'!$C$30:$J$30</c:f>
              <c:numCache>
                <c:formatCode>0.000</c:formatCode>
                <c:ptCount val="8"/>
                <c:pt idx="0">
                  <c:v>0.0</c:v>
                </c:pt>
                <c:pt idx="1">
                  <c:v>0.0643626417348321</c:v>
                </c:pt>
                <c:pt idx="2">
                  <c:v>0.14391924213055</c:v>
                </c:pt>
                <c:pt idx="3">
                  <c:v>0.232062804999256</c:v>
                </c:pt>
                <c:pt idx="4">
                  <c:v>0.321813208674162</c:v>
                </c:pt>
                <c:pt idx="5">
                  <c:v>0.409601343832022</c:v>
                </c:pt>
                <c:pt idx="6">
                  <c:v>0.418001371391077</c:v>
                </c:pt>
                <c:pt idx="7">
                  <c:v>0.475001558398949</c:v>
                </c:pt>
              </c:numCache>
            </c:numRef>
          </c:xVal>
          <c:yVal>
            <c:numRef>
              <c:f>'SS Rod Radial Profile_5'!$C$33:$J$33</c:f>
              <c:numCache>
                <c:formatCode>0.000</c:formatCode>
                <c:ptCount val="8"/>
                <c:pt idx="0">
                  <c:v>88.44823703703696</c:v>
                </c:pt>
                <c:pt idx="1">
                  <c:v>86.73207944444439</c:v>
                </c:pt>
                <c:pt idx="2">
                  <c:v>81.58360666666663</c:v>
                </c:pt>
                <c:pt idx="3">
                  <c:v>71.0842905555555</c:v>
                </c:pt>
                <c:pt idx="4">
                  <c:v>54.59194666666665</c:v>
                </c:pt>
                <c:pt idx="5">
                  <c:v>32.32435888888883</c:v>
                </c:pt>
                <c:pt idx="6">
                  <c:v>5.490174444444418</c:v>
                </c:pt>
                <c:pt idx="7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'SS Rod Radial Profile_5'!$B$34</c:f>
              <c:strCache>
                <c:ptCount val="1"/>
                <c:pt idx="0">
                  <c:v>Implicit Trans</c:v>
                </c:pt>
              </c:strCache>
            </c:strRef>
          </c:tx>
          <c:spPr>
            <a:ln w="28800">
              <a:noFill/>
            </a:ln>
          </c:spPr>
          <c:marker>
            <c:symbol val="x"/>
            <c:size val="7"/>
          </c:marker>
          <c:xVal>
            <c:numRef>
              <c:f>'SS Rod Radial Profile_5'!$C$30:$J$30</c:f>
              <c:numCache>
                <c:formatCode>0.000</c:formatCode>
                <c:ptCount val="8"/>
                <c:pt idx="0">
                  <c:v>0.0</c:v>
                </c:pt>
                <c:pt idx="1">
                  <c:v>0.0643626417348321</c:v>
                </c:pt>
                <c:pt idx="2">
                  <c:v>0.14391924213055</c:v>
                </c:pt>
                <c:pt idx="3">
                  <c:v>0.232062804999256</c:v>
                </c:pt>
                <c:pt idx="4">
                  <c:v>0.321813208674162</c:v>
                </c:pt>
                <c:pt idx="5">
                  <c:v>0.409601343832022</c:v>
                </c:pt>
                <c:pt idx="6">
                  <c:v>0.418001371391077</c:v>
                </c:pt>
                <c:pt idx="7">
                  <c:v>0.475001558398949</c:v>
                </c:pt>
              </c:numCache>
            </c:numRef>
          </c:xVal>
          <c:yVal>
            <c:numRef>
              <c:f>'SS Rod Radial Profile_5'!$C$34:$J$34</c:f>
              <c:numCache>
                <c:formatCode>0.000</c:formatCode>
                <c:ptCount val="8"/>
                <c:pt idx="0">
                  <c:v>88.23573351851856</c:v>
                </c:pt>
                <c:pt idx="1">
                  <c:v>86.52449166666669</c:v>
                </c:pt>
                <c:pt idx="2">
                  <c:v>81.39076611111111</c:v>
                </c:pt>
                <c:pt idx="3">
                  <c:v>70.9200522222222</c:v>
                </c:pt>
                <c:pt idx="4">
                  <c:v>54.46866499999999</c:v>
                </c:pt>
                <c:pt idx="5">
                  <c:v>32.24938055555558</c:v>
                </c:pt>
                <c:pt idx="6">
                  <c:v>5.477182777777772</c:v>
                </c:pt>
                <c:pt idx="7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360424"/>
        <c:axId val="2020366216"/>
      </c:scatterChart>
      <c:valAx>
        <c:axId val="2020360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Radius [cm]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20366216"/>
        <c:crossesAt val="0.0"/>
        <c:crossBetween val="midCat"/>
      </c:valAx>
      <c:valAx>
        <c:axId val="20203662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Temperature [C]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20360424"/>
        <c:crossesAt val="0.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'SS Rod Radial Profile_5'!$L$31:$L$31</c:f>
              <c:strCache>
                <c:ptCount val="1"/>
                <c:pt idx="0">
                  <c:v>Semi-implicit Trans</c:v>
                </c:pt>
              </c:strCache>
            </c:strRef>
          </c:tx>
          <c:spPr>
            <a:ln w="28800">
              <a:solidFill>
                <a:srgbClr val="000000"/>
              </a:solidFill>
              <a:round/>
            </a:ln>
          </c:spPr>
          <c:marker>
            <c:symbol val="diamond"/>
            <c:size val="7"/>
          </c:marker>
          <c:xVal>
            <c:numRef>
              <c:f>'SS Rod Radial Profile_5'!$C$30:$I$30</c:f>
              <c:numCache>
                <c:formatCode>0.000</c:formatCode>
                <c:ptCount val="7"/>
                <c:pt idx="0">
                  <c:v>0.0</c:v>
                </c:pt>
                <c:pt idx="1">
                  <c:v>0.0643626417348321</c:v>
                </c:pt>
                <c:pt idx="2">
                  <c:v>0.14391924213055</c:v>
                </c:pt>
                <c:pt idx="3">
                  <c:v>0.232062804999256</c:v>
                </c:pt>
                <c:pt idx="4">
                  <c:v>0.321813208674162</c:v>
                </c:pt>
                <c:pt idx="5">
                  <c:v>0.409601343832022</c:v>
                </c:pt>
                <c:pt idx="6">
                  <c:v>0.418001371391077</c:v>
                </c:pt>
              </c:numCache>
            </c:numRef>
          </c:xVal>
          <c:yVal>
            <c:numRef>
              <c:f>'SS Rod Radial Profile_5'!$M$31:$Y$31</c:f>
              <c:numCache>
                <c:formatCode>0.00</c:formatCode>
                <c:ptCount val="13"/>
                <c:pt idx="0">
                  <c:v>-4.117136662009216</c:v>
                </c:pt>
                <c:pt idx="1">
                  <c:v>-4.367405263328507</c:v>
                </c:pt>
                <c:pt idx="2">
                  <c:v>-3.656531150087147</c:v>
                </c:pt>
                <c:pt idx="3">
                  <c:v>-2.43791625693784</c:v>
                </c:pt>
                <c:pt idx="4">
                  <c:v>-1.355030583880264</c:v>
                </c:pt>
                <c:pt idx="5">
                  <c:v>-4.117136662009216</c:v>
                </c:pt>
                <c:pt idx="6">
                  <c:v>-4.367405263328507</c:v>
                </c:pt>
                <c:pt idx="7">
                  <c:v>-3.656531150087147</c:v>
                </c:pt>
                <c:pt idx="8">
                  <c:v>-2.43791625693784</c:v>
                </c:pt>
                <c:pt idx="9">
                  <c:v>-0.925606970608399</c:v>
                </c:pt>
                <c:pt idx="10">
                  <c:v>-0.925606970608399</c:v>
                </c:pt>
                <c:pt idx="11">
                  <c:v>-0.335008678433447</c:v>
                </c:pt>
                <c:pt idx="12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'SS Rod Radial Profile_5'!$L$32:$L$32</c:f>
              <c:strCache>
                <c:ptCount val="1"/>
                <c:pt idx="0">
                  <c:v>Implicit SS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square"/>
            <c:size val="7"/>
          </c:marker>
          <c:xVal>
            <c:numRef>
              <c:f>'SS Rod Radial Profile_5'!$C$30:$I$30</c:f>
              <c:numCache>
                <c:formatCode>0.000</c:formatCode>
                <c:ptCount val="7"/>
                <c:pt idx="0">
                  <c:v>0.0</c:v>
                </c:pt>
                <c:pt idx="1">
                  <c:v>0.0643626417348321</c:v>
                </c:pt>
                <c:pt idx="2">
                  <c:v>0.14391924213055</c:v>
                </c:pt>
                <c:pt idx="3">
                  <c:v>0.232062804999256</c:v>
                </c:pt>
                <c:pt idx="4">
                  <c:v>0.321813208674162</c:v>
                </c:pt>
                <c:pt idx="5">
                  <c:v>0.409601343832022</c:v>
                </c:pt>
                <c:pt idx="6">
                  <c:v>0.418001371391077</c:v>
                </c:pt>
              </c:numCache>
            </c:numRef>
          </c:xVal>
          <c:yVal>
            <c:numRef>
              <c:f>'SS Rod Radial Profile_5'!$M$32:$Y$32</c:f>
              <c:numCache>
                <c:formatCode>0.00</c:formatCode>
                <c:ptCount val="13"/>
                <c:pt idx="0">
                  <c:v>-3.935174254601861</c:v>
                </c:pt>
                <c:pt idx="1">
                  <c:v>-4.189651929995208</c:v>
                </c:pt>
                <c:pt idx="2">
                  <c:v>-3.491405038976083</c:v>
                </c:pt>
                <c:pt idx="3">
                  <c:v>-2.297281812493452</c:v>
                </c:pt>
                <c:pt idx="4">
                  <c:v>-1.249466694991362</c:v>
                </c:pt>
                <c:pt idx="5">
                  <c:v>-3.935174254601861</c:v>
                </c:pt>
                <c:pt idx="6">
                  <c:v>-4.189651929995208</c:v>
                </c:pt>
                <c:pt idx="7">
                  <c:v>-3.491405038976083</c:v>
                </c:pt>
                <c:pt idx="8">
                  <c:v>-2.297281812493452</c:v>
                </c:pt>
                <c:pt idx="9">
                  <c:v>-0.861404192830648</c:v>
                </c:pt>
                <c:pt idx="10">
                  <c:v>-0.861404192830648</c:v>
                </c:pt>
                <c:pt idx="11">
                  <c:v>-0.323884233989046</c:v>
                </c:pt>
                <c:pt idx="12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407320"/>
        <c:axId val="2054410648"/>
      </c:scatterChart>
      <c:valAx>
        <c:axId val="2054407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54410648"/>
        <c:crossesAt val="0.0"/>
        <c:crossBetween val="midCat"/>
      </c:valAx>
      <c:valAx>
        <c:axId val="20544106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54407320"/>
        <c:crossesAt val="0.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Rod Relative Temperature Difference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6238559503782"/>
          <c:y val="0.171878536160282"/>
          <c:w val="0.506880439418746"/>
          <c:h val="0.6545880516598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'SS Rod Radial Profile_10'!$B$31:$B$31</c:f>
              <c:strCache>
                <c:ptCount val="1"/>
                <c:pt idx="0">
                  <c:v>Analytical</c:v>
                </c:pt>
              </c:strCache>
            </c:strRef>
          </c:tx>
          <c:spPr>
            <a:ln w="28800">
              <a:solidFill>
                <a:srgbClr val="000000"/>
              </a:solidFill>
              <a:round/>
            </a:ln>
          </c:spPr>
          <c:marker>
            <c:symbol val="diamond"/>
            <c:size val="7"/>
          </c:marker>
          <c:xVal>
            <c:numRef>
              <c:f>'SS Rod Radial Profile_10'!$C$30:$O$30</c:f>
              <c:numCache>
                <c:formatCode>0.000</c:formatCode>
                <c:ptCount val="13"/>
                <c:pt idx="0">
                  <c:v>0.0</c:v>
                </c:pt>
                <c:pt idx="1">
                  <c:v>0.0304875671375521</c:v>
                </c:pt>
                <c:pt idx="2">
                  <c:v>0.068172272588155</c:v>
                </c:pt>
                <c:pt idx="3">
                  <c:v>0.109924486578595</c:v>
                </c:pt>
                <c:pt idx="4">
                  <c:v>0.15243783568776</c:v>
                </c:pt>
                <c:pt idx="5">
                  <c:v>0.195215680078821</c:v>
                </c:pt>
                <c:pt idx="6">
                  <c:v>0.238115511355248</c:v>
                </c:pt>
                <c:pt idx="7">
                  <c:v>0.281081480619363</c:v>
                </c:pt>
                <c:pt idx="8">
                  <c:v>0.324087284147715</c:v>
                </c:pt>
                <c:pt idx="9">
                  <c:v>0.367118923164112</c:v>
                </c:pt>
                <c:pt idx="10">
                  <c:v>0.409601343832022</c:v>
                </c:pt>
                <c:pt idx="11">
                  <c:v>0.418001371391077</c:v>
                </c:pt>
                <c:pt idx="12">
                  <c:v>0.475001558398949</c:v>
                </c:pt>
              </c:numCache>
            </c:numRef>
          </c:xVal>
          <c:yVal>
            <c:numRef>
              <c:f>'SS Rod Radial Profile_10'!$C$31:$O$31</c:f>
              <c:numCache>
                <c:formatCode>0.000</c:formatCode>
                <c:ptCount val="13"/>
                <c:pt idx="0">
                  <c:v>92.38341129163882</c:v>
                </c:pt>
                <c:pt idx="1">
                  <c:v>92.05544432960798</c:v>
                </c:pt>
                <c:pt idx="2">
                  <c:v>90.74357648148458</c:v>
                </c:pt>
                <c:pt idx="3">
                  <c:v>88.11984078523778</c:v>
                </c:pt>
                <c:pt idx="4">
                  <c:v>84.18423724086758</c:v>
                </c:pt>
                <c:pt idx="5">
                  <c:v>78.93676584837396</c:v>
                </c:pt>
                <c:pt idx="6">
                  <c:v>72.377426607757</c:v>
                </c:pt>
                <c:pt idx="7">
                  <c:v>64.5062195190166</c:v>
                </c:pt>
                <c:pt idx="8">
                  <c:v>55.32314458215286</c:v>
                </c:pt>
                <c:pt idx="9">
                  <c:v>44.82820179716587</c:v>
                </c:pt>
                <c:pt idx="10">
                  <c:v>33.18576308171949</c:v>
                </c:pt>
                <c:pt idx="11">
                  <c:v>5.814058678433464</c:v>
                </c:pt>
                <c:pt idx="12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'SS Rod Radial Profile_10'!$B$32:$B$32</c:f>
              <c:strCache>
                <c:ptCount val="1"/>
                <c:pt idx="0">
                  <c:v>Semi-implicit Trans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7"/>
          </c:marker>
          <c:xVal>
            <c:numRef>
              <c:f>'SS Rod Radial Profile_10'!$C$30:$O$30</c:f>
              <c:numCache>
                <c:formatCode>0.000</c:formatCode>
                <c:ptCount val="13"/>
                <c:pt idx="0">
                  <c:v>0.0</c:v>
                </c:pt>
                <c:pt idx="1">
                  <c:v>0.0304875671375521</c:v>
                </c:pt>
                <c:pt idx="2">
                  <c:v>0.068172272588155</c:v>
                </c:pt>
                <c:pt idx="3">
                  <c:v>0.109924486578595</c:v>
                </c:pt>
                <c:pt idx="4">
                  <c:v>0.15243783568776</c:v>
                </c:pt>
                <c:pt idx="5">
                  <c:v>0.195215680078821</c:v>
                </c:pt>
                <c:pt idx="6">
                  <c:v>0.238115511355248</c:v>
                </c:pt>
                <c:pt idx="7">
                  <c:v>0.281081480619363</c:v>
                </c:pt>
                <c:pt idx="8">
                  <c:v>0.324087284147715</c:v>
                </c:pt>
                <c:pt idx="9">
                  <c:v>0.367118923164112</c:v>
                </c:pt>
                <c:pt idx="10">
                  <c:v>0.409601343832022</c:v>
                </c:pt>
                <c:pt idx="11">
                  <c:v>0.418001371391077</c:v>
                </c:pt>
                <c:pt idx="12">
                  <c:v>0.475001558398949</c:v>
                </c:pt>
              </c:numCache>
            </c:numRef>
          </c:xVal>
          <c:yVal>
            <c:numRef>
              <c:f>'SS Rod Radial Profile_10'!$C$32:$O$32</c:f>
              <c:numCache>
                <c:formatCode>0.000</c:formatCode>
                <c:ptCount val="13"/>
                <c:pt idx="0">
                  <c:v>90.47441314814818</c:v>
                </c:pt>
                <c:pt idx="1">
                  <c:v>90.09021888888893</c:v>
                </c:pt>
                <c:pt idx="2">
                  <c:v>88.93763611111113</c:v>
                </c:pt>
                <c:pt idx="3">
                  <c:v>86.58710500000003</c:v>
                </c:pt>
                <c:pt idx="4">
                  <c:v>82.89471888888892</c:v>
                </c:pt>
                <c:pt idx="5">
                  <c:v>77.86133388888888</c:v>
                </c:pt>
                <c:pt idx="6">
                  <c:v>71.4936927777778</c:v>
                </c:pt>
                <c:pt idx="7">
                  <c:v>63.79695722222222</c:v>
                </c:pt>
                <c:pt idx="8">
                  <c:v>54.77468722222221</c:v>
                </c:pt>
                <c:pt idx="9">
                  <c:v>44.42931444444444</c:v>
                </c:pt>
                <c:pt idx="10">
                  <c:v>32.78692555555558</c:v>
                </c:pt>
                <c:pt idx="11">
                  <c:v>5.56855333333336</c:v>
                </c:pt>
                <c:pt idx="12">
                  <c:v>0.0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'SS Rod Radial Profile_10'!$B$33:$B$33</c:f>
              <c:strCache>
                <c:ptCount val="1"/>
                <c:pt idx="0">
                  <c:v>Implicit SS</c:v>
                </c:pt>
              </c:strCache>
            </c:strRef>
          </c:tx>
          <c:spPr>
            <a:ln w="28800">
              <a:noFill/>
            </a:ln>
          </c:spPr>
          <c:marker>
            <c:symbol val="triangle"/>
            <c:size val="7"/>
          </c:marker>
          <c:xVal>
            <c:numRef>
              <c:f>'SS Rod Radial Profile_10'!$C$30:$O$30</c:f>
              <c:numCache>
                <c:formatCode>0.000</c:formatCode>
                <c:ptCount val="13"/>
                <c:pt idx="0">
                  <c:v>0.0</c:v>
                </c:pt>
                <c:pt idx="1">
                  <c:v>0.0304875671375521</c:v>
                </c:pt>
                <c:pt idx="2">
                  <c:v>0.068172272588155</c:v>
                </c:pt>
                <c:pt idx="3">
                  <c:v>0.109924486578595</c:v>
                </c:pt>
                <c:pt idx="4">
                  <c:v>0.15243783568776</c:v>
                </c:pt>
                <c:pt idx="5">
                  <c:v>0.195215680078821</c:v>
                </c:pt>
                <c:pt idx="6">
                  <c:v>0.238115511355248</c:v>
                </c:pt>
                <c:pt idx="7">
                  <c:v>0.281081480619363</c:v>
                </c:pt>
                <c:pt idx="8">
                  <c:v>0.324087284147715</c:v>
                </c:pt>
                <c:pt idx="9">
                  <c:v>0.367118923164112</c:v>
                </c:pt>
                <c:pt idx="10">
                  <c:v>0.409601343832022</c:v>
                </c:pt>
                <c:pt idx="11">
                  <c:v>0.418001371391077</c:v>
                </c:pt>
                <c:pt idx="12">
                  <c:v>0.475001558398949</c:v>
                </c:pt>
              </c:numCache>
            </c:numRef>
          </c:xVal>
          <c:yVal>
            <c:numRef>
              <c:f>'SS Rod Radial Profile_10'!$C$33:$O$33</c:f>
              <c:numCache>
                <c:formatCode>0.000</c:formatCode>
                <c:ptCount val="13"/>
                <c:pt idx="0">
                  <c:v>90.63588870370376</c:v>
                </c:pt>
                <c:pt idx="1">
                  <c:v>90.25082277777781</c:v>
                </c:pt>
                <c:pt idx="2">
                  <c:v>89.09562500000005</c:v>
                </c:pt>
                <c:pt idx="3">
                  <c:v>86.73982277777781</c:v>
                </c:pt>
                <c:pt idx="4">
                  <c:v>83.0393244444445</c:v>
                </c:pt>
                <c:pt idx="5">
                  <c:v>77.99520277777781</c:v>
                </c:pt>
                <c:pt idx="6">
                  <c:v>71.61450000000002</c:v>
                </c:pt>
                <c:pt idx="7">
                  <c:v>63.90273000000004</c:v>
                </c:pt>
                <c:pt idx="8">
                  <c:v>54.86385277777781</c:v>
                </c:pt>
                <c:pt idx="9">
                  <c:v>44.50073222222222</c:v>
                </c:pt>
                <c:pt idx="10">
                  <c:v>32.83993555555558</c:v>
                </c:pt>
                <c:pt idx="11">
                  <c:v>5.577742777777783</c:v>
                </c:pt>
                <c:pt idx="12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'SS Rod Radial Profile_10'!$B$34:$B$34</c:f>
              <c:strCache>
                <c:ptCount val="1"/>
                <c:pt idx="0">
                  <c:v>Implicit Trans</c:v>
                </c:pt>
              </c:strCache>
            </c:strRef>
          </c:tx>
          <c:spPr>
            <a:ln w="28800">
              <a:noFill/>
            </a:ln>
          </c:spPr>
          <c:marker>
            <c:symbol val="x"/>
            <c:size val="7"/>
          </c:marker>
          <c:xVal>
            <c:numRef>
              <c:f>'SS Rod Radial Profile_10'!$C$30:$O$30</c:f>
              <c:numCache>
                <c:formatCode>0.000</c:formatCode>
                <c:ptCount val="13"/>
                <c:pt idx="0">
                  <c:v>0.0</c:v>
                </c:pt>
                <c:pt idx="1">
                  <c:v>0.0304875671375521</c:v>
                </c:pt>
                <c:pt idx="2">
                  <c:v>0.068172272588155</c:v>
                </c:pt>
                <c:pt idx="3">
                  <c:v>0.109924486578595</c:v>
                </c:pt>
                <c:pt idx="4">
                  <c:v>0.15243783568776</c:v>
                </c:pt>
                <c:pt idx="5">
                  <c:v>0.195215680078821</c:v>
                </c:pt>
                <c:pt idx="6">
                  <c:v>0.238115511355248</c:v>
                </c:pt>
                <c:pt idx="7">
                  <c:v>0.281081480619363</c:v>
                </c:pt>
                <c:pt idx="8">
                  <c:v>0.324087284147715</c:v>
                </c:pt>
                <c:pt idx="9">
                  <c:v>0.367118923164112</c:v>
                </c:pt>
                <c:pt idx="10">
                  <c:v>0.409601343832022</c:v>
                </c:pt>
                <c:pt idx="11">
                  <c:v>0.418001371391077</c:v>
                </c:pt>
                <c:pt idx="12">
                  <c:v>0.475001558398949</c:v>
                </c:pt>
              </c:numCache>
            </c:numRef>
          </c:xVal>
          <c:yVal>
            <c:numRef>
              <c:f>'SS Rod Radial Profile_10'!$C$34:$O$34</c:f>
              <c:numCache>
                <c:formatCode>0.000</c:formatCode>
                <c:ptCount val="13"/>
                <c:pt idx="0">
                  <c:v>90.44576814814813</c:v>
                </c:pt>
                <c:pt idx="1">
                  <c:v>90.06172833333336</c:v>
                </c:pt>
                <c:pt idx="2">
                  <c:v>88.90960888888894</c:v>
                </c:pt>
                <c:pt idx="3">
                  <c:v>86.56001333333335</c:v>
                </c:pt>
                <c:pt idx="4">
                  <c:v>82.86906666666673</c:v>
                </c:pt>
                <c:pt idx="5">
                  <c:v>77.83758611111112</c:v>
                </c:pt>
                <c:pt idx="6">
                  <c:v>71.47226222222224</c:v>
                </c:pt>
                <c:pt idx="7">
                  <c:v>63.7781938888889</c:v>
                </c:pt>
                <c:pt idx="8">
                  <c:v>54.75887</c:v>
                </c:pt>
                <c:pt idx="9">
                  <c:v>44.41664555555558</c:v>
                </c:pt>
                <c:pt idx="10">
                  <c:v>32.77752222222224</c:v>
                </c:pt>
                <c:pt idx="11">
                  <c:v>5.56692333333337</c:v>
                </c:pt>
                <c:pt idx="12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489656"/>
        <c:axId val="2054495448"/>
      </c:scatterChart>
      <c:valAx>
        <c:axId val="2054489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Radius [cm]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54495448"/>
        <c:crossesAt val="0.0"/>
        <c:crossBetween val="midCat"/>
      </c:valAx>
      <c:valAx>
        <c:axId val="20544954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Temperature [C]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54489656"/>
        <c:crossesAt val="0.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41852312077751"/>
          <c:y val="0.398945796607391"/>
          <c:w val="0.333761138064596"/>
          <c:h val="0.292822078647588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'SS Rod Radial Profile_10'!$Q$39:$Q$39</c:f>
              <c:strCache>
                <c:ptCount val="1"/>
                <c:pt idx="0">
                  <c:v>Semi-implicit Trans</c:v>
                </c:pt>
              </c:strCache>
            </c:strRef>
          </c:tx>
          <c:spPr>
            <a:ln w="28800">
              <a:noFill/>
              <a:round/>
            </a:ln>
          </c:spPr>
          <c:marker>
            <c:symbol val="diamond"/>
            <c:size val="7"/>
          </c:marker>
          <c:xVal>
            <c:numRef>
              <c:f>'SS Rod Radial Profile_10'!$D$30:$M$30</c:f>
              <c:numCache>
                <c:formatCode>0.000</c:formatCode>
                <c:ptCount val="10"/>
                <c:pt idx="0">
                  <c:v>0.0304875671375521</c:v>
                </c:pt>
                <c:pt idx="1">
                  <c:v>0.068172272588155</c:v>
                </c:pt>
                <c:pt idx="2">
                  <c:v>0.109924486578595</c:v>
                </c:pt>
                <c:pt idx="3">
                  <c:v>0.15243783568776</c:v>
                </c:pt>
                <c:pt idx="4">
                  <c:v>0.195215680078821</c:v>
                </c:pt>
                <c:pt idx="5">
                  <c:v>0.238115511355248</c:v>
                </c:pt>
                <c:pt idx="6">
                  <c:v>0.281081480619363</c:v>
                </c:pt>
                <c:pt idx="7">
                  <c:v>0.324087284147715</c:v>
                </c:pt>
                <c:pt idx="8">
                  <c:v>0.367118923164112</c:v>
                </c:pt>
                <c:pt idx="9">
                  <c:v>0.409601343832022</c:v>
                </c:pt>
              </c:numCache>
            </c:numRef>
          </c:xVal>
          <c:yVal>
            <c:numRef>
              <c:f>'SS Rod Radial Profile_10'!$R$39:$AB$39</c:f>
              <c:numCache>
                <c:formatCode>0.000%</c:formatCode>
                <c:ptCount val="11"/>
                <c:pt idx="0">
                  <c:v>0.0808262675036269</c:v>
                </c:pt>
                <c:pt idx="1">
                  <c:v>0.0807494651628843</c:v>
                </c:pt>
                <c:pt idx="2">
                  <c:v>0.081437195741583</c:v>
                </c:pt>
                <c:pt idx="3">
                  <c:v>0.0827083477722492</c:v>
                </c:pt>
                <c:pt idx="4">
                  <c:v>0.0842086140027975</c:v>
                </c:pt>
                <c:pt idx="5">
                  <c:v>0.0859633148847755</c:v>
                </c:pt>
                <c:pt idx="6">
                  <c:v>0.0880205178512107</c:v>
                </c:pt>
                <c:pt idx="7">
                  <c:v>0.0904336742176338</c:v>
                </c:pt>
                <c:pt idx="8">
                  <c:v>0.0932640668582205</c:v>
                </c:pt>
                <c:pt idx="9">
                  <c:v>0.0965854772036208</c:v>
                </c:pt>
                <c:pt idx="10">
                  <c:v>0.100013075551767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'SS Rod Radial Profile_10'!$Q$41:$Q$41</c:f>
              <c:strCache>
                <c:ptCount val="1"/>
                <c:pt idx="0">
                  <c:v>Implicit Trans</c:v>
                </c:pt>
              </c:strCache>
            </c:strRef>
          </c:tx>
          <c:spPr>
            <a:ln w="28800">
              <a:noFill/>
              <a:round/>
            </a:ln>
          </c:spPr>
          <c:marker>
            <c:symbol val="square"/>
            <c:size val="7"/>
          </c:marker>
          <c:xVal>
            <c:numRef>
              <c:f>'SS Rod Radial Profile_10'!$D$30:$M$30</c:f>
              <c:numCache>
                <c:formatCode>0.000</c:formatCode>
                <c:ptCount val="10"/>
                <c:pt idx="0">
                  <c:v>0.0304875671375521</c:v>
                </c:pt>
                <c:pt idx="1">
                  <c:v>0.068172272588155</c:v>
                </c:pt>
                <c:pt idx="2">
                  <c:v>0.109924486578595</c:v>
                </c:pt>
                <c:pt idx="3">
                  <c:v>0.15243783568776</c:v>
                </c:pt>
                <c:pt idx="4">
                  <c:v>0.195215680078821</c:v>
                </c:pt>
                <c:pt idx="5">
                  <c:v>0.238115511355248</c:v>
                </c:pt>
                <c:pt idx="6">
                  <c:v>0.281081480619363</c:v>
                </c:pt>
                <c:pt idx="7">
                  <c:v>0.324087284147715</c:v>
                </c:pt>
                <c:pt idx="8">
                  <c:v>0.367118923164112</c:v>
                </c:pt>
                <c:pt idx="9">
                  <c:v>0.409601343832022</c:v>
                </c:pt>
              </c:numCache>
            </c:numRef>
          </c:xVal>
          <c:yVal>
            <c:numRef>
              <c:f>'SS Rod Radial Profile_10'!$R$41:$AB$41</c:f>
              <c:numCache>
                <c:formatCode>0.000%</c:formatCode>
                <c:ptCount val="11"/>
                <c:pt idx="0">
                  <c:v>0.0807239632728841</c:v>
                </c:pt>
                <c:pt idx="1">
                  <c:v>0.0806474733520226</c:v>
                </c:pt>
                <c:pt idx="2">
                  <c:v>0.0813360584374353</c:v>
                </c:pt>
                <c:pt idx="3">
                  <c:v>0.082608960249543</c:v>
                </c:pt>
                <c:pt idx="4">
                  <c:v>0.0841119918267083</c:v>
                </c:pt>
                <c:pt idx="5">
                  <c:v>0.0858704307807406</c:v>
                </c:pt>
                <c:pt idx="6">
                  <c:v>0.0879322841061322</c:v>
                </c:pt>
                <c:pt idx="7">
                  <c:v>0.0903509293190851</c:v>
                </c:pt>
                <c:pt idx="8">
                  <c:v>0.0931875644632729</c:v>
                </c:pt>
                <c:pt idx="9">
                  <c:v>0.0965158787304986</c:v>
                </c:pt>
                <c:pt idx="10">
                  <c:v>0.099950960708665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'SS Rod Radial Profile_10'!$Q$40:$Q$40</c:f>
              <c:strCache>
                <c:ptCount val="1"/>
                <c:pt idx="0">
                  <c:v>Implicit SS</c:v>
                </c:pt>
              </c:strCache>
            </c:strRef>
          </c:tx>
          <c:spPr>
            <a:ln w="28800">
              <a:noFill/>
              <a:round/>
            </a:ln>
          </c:spPr>
          <c:marker>
            <c:symbol val="triangle"/>
            <c:size val="7"/>
          </c:marker>
          <c:xVal>
            <c:numRef>
              <c:f>'SS Rod Radial Profile_10'!$D$30:$M$30</c:f>
              <c:numCache>
                <c:formatCode>0.000</c:formatCode>
                <c:ptCount val="10"/>
                <c:pt idx="0">
                  <c:v>0.0304875671375521</c:v>
                </c:pt>
                <c:pt idx="1">
                  <c:v>0.068172272588155</c:v>
                </c:pt>
                <c:pt idx="2">
                  <c:v>0.109924486578595</c:v>
                </c:pt>
                <c:pt idx="3">
                  <c:v>0.15243783568776</c:v>
                </c:pt>
                <c:pt idx="4">
                  <c:v>0.195215680078821</c:v>
                </c:pt>
                <c:pt idx="5">
                  <c:v>0.238115511355248</c:v>
                </c:pt>
                <c:pt idx="6">
                  <c:v>0.281081480619363</c:v>
                </c:pt>
                <c:pt idx="7">
                  <c:v>0.324087284147715</c:v>
                </c:pt>
                <c:pt idx="8">
                  <c:v>0.367118923164112</c:v>
                </c:pt>
                <c:pt idx="9">
                  <c:v>0.409601343832022</c:v>
                </c:pt>
              </c:numCache>
            </c:numRef>
          </c:xVal>
          <c:yVal>
            <c:numRef>
              <c:f>'SS Rod Radial Profile_10'!$R$40:$AB$40</c:f>
              <c:numCache>
                <c:formatCode>0.000%</c:formatCode>
                <c:ptCount val="11"/>
                <c:pt idx="0">
                  <c:v>0.0814030325826685</c:v>
                </c:pt>
                <c:pt idx="1">
                  <c:v>0.0813244664476214</c:v>
                </c:pt>
                <c:pt idx="2">
                  <c:v>0.0820073721499006</c:v>
                </c:pt>
                <c:pt idx="3">
                  <c:v>0.0832686679395535</c:v>
                </c:pt>
                <c:pt idx="4">
                  <c:v>0.0847533517469884</c:v>
                </c:pt>
                <c:pt idx="5">
                  <c:v>0.0864869787060816</c:v>
                </c:pt>
                <c:pt idx="6">
                  <c:v>0.0885179703608797</c:v>
                </c:pt>
                <c:pt idx="7">
                  <c:v>0.0909001897392445</c:v>
                </c:pt>
                <c:pt idx="8">
                  <c:v>0.0936953955684404</c:v>
                </c:pt>
                <c:pt idx="9">
                  <c:v>0.0969778892902244</c:v>
                </c:pt>
                <c:pt idx="10">
                  <c:v>0.100363305934077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534936"/>
        <c:axId val="2054538264"/>
      </c:scatterChart>
      <c:valAx>
        <c:axId val="2054534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Radius [cm]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54538264"/>
        <c:crossesAt val="0.0"/>
        <c:crossBetween val="midCat"/>
      </c:valAx>
      <c:valAx>
        <c:axId val="20545382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 Relative</a:t>
                </a:r>
                <a:r>
                  <a:rPr lang="en-US" baseline="0"/>
                  <a:t> </a:t>
                </a:r>
                <a:r>
                  <a:rPr lang="en-US"/>
                  <a:t>Error</a:t>
                </a:r>
              </a:p>
            </c:rich>
          </c:tx>
          <c:layout/>
          <c:overlay val="0"/>
        </c:title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54534936"/>
        <c:crossesAt val="0.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Temperature Profile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54545566332855"/>
          <c:y val="0.0620504536711243"/>
          <c:w val="0.419570798984792"/>
          <c:h val="0.816967322599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'SS Rod Radial Profile_10'!$B$38:$B$38</c:f>
              <c:strCache>
                <c:ptCount val="1"/>
                <c:pt idx="0">
                  <c:v>Analytical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diamond"/>
            <c:size val="7"/>
          </c:marker>
          <c:xVal>
            <c:numRef>
              <c:f>'SS Rod Radial Profile_10'!$C$37:$O$37</c:f>
              <c:numCache>
                <c:formatCode>0.00000</c:formatCode>
                <c:ptCount val="13"/>
                <c:pt idx="0">
                  <c:v>0.0</c:v>
                </c:pt>
                <c:pt idx="1">
                  <c:v>0.0304875671375521</c:v>
                </c:pt>
                <c:pt idx="2">
                  <c:v>0.068172272588155</c:v>
                </c:pt>
                <c:pt idx="3">
                  <c:v>0.109924486578595</c:v>
                </c:pt>
                <c:pt idx="4">
                  <c:v>0.15243783568776</c:v>
                </c:pt>
                <c:pt idx="5">
                  <c:v>0.195215680078821</c:v>
                </c:pt>
                <c:pt idx="6">
                  <c:v>0.238115511355248</c:v>
                </c:pt>
                <c:pt idx="7">
                  <c:v>0.281081480619363</c:v>
                </c:pt>
                <c:pt idx="8">
                  <c:v>0.324087284147715</c:v>
                </c:pt>
                <c:pt idx="9">
                  <c:v>0.367118923164112</c:v>
                </c:pt>
                <c:pt idx="10">
                  <c:v>0.409601343832022</c:v>
                </c:pt>
                <c:pt idx="11">
                  <c:v>0.418001371391077</c:v>
                </c:pt>
                <c:pt idx="12">
                  <c:v>0.475001558398949</c:v>
                </c:pt>
              </c:numCache>
            </c:numRef>
          </c:xVal>
          <c:yVal>
            <c:numRef>
              <c:f>'SS Rod Radial Profile_10'!$C$38:$O$38</c:f>
              <c:numCache>
                <c:formatCode>0.000</c:formatCode>
                <c:ptCount val="13"/>
                <c:pt idx="0">
                  <c:v>387.281691753449</c:v>
                </c:pt>
                <c:pt idx="1">
                  <c:v>386.9537247914182</c:v>
                </c:pt>
                <c:pt idx="2">
                  <c:v>385.6418569432948</c:v>
                </c:pt>
                <c:pt idx="3">
                  <c:v>383.018121247048</c:v>
                </c:pt>
                <c:pt idx="4">
                  <c:v>379.0825177026778</c:v>
                </c:pt>
                <c:pt idx="5">
                  <c:v>373.8350463101842</c:v>
                </c:pt>
                <c:pt idx="6">
                  <c:v>367.2757070695672</c:v>
                </c:pt>
                <c:pt idx="7">
                  <c:v>359.4044999808268</c:v>
                </c:pt>
                <c:pt idx="8">
                  <c:v>350.2214250439631</c:v>
                </c:pt>
                <c:pt idx="9">
                  <c:v>339.7264822589761</c:v>
                </c:pt>
                <c:pt idx="10">
                  <c:v>328.0840435435297</c:v>
                </c:pt>
                <c:pt idx="11">
                  <c:v>300.7123391402437</c:v>
                </c:pt>
                <c:pt idx="12">
                  <c:v>294.8982804618102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'SS Rod Radial Profile_10'!$B$39:$B$39</c:f>
              <c:strCache>
                <c:ptCount val="1"/>
                <c:pt idx="0">
                  <c:v>Semi-implicit Trans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7"/>
          </c:marker>
          <c:xVal>
            <c:numRef>
              <c:f>'SS Rod Radial Profile_10'!$C$37:$O$37</c:f>
              <c:numCache>
                <c:formatCode>0.00000</c:formatCode>
                <c:ptCount val="13"/>
                <c:pt idx="0">
                  <c:v>0.0</c:v>
                </c:pt>
                <c:pt idx="1">
                  <c:v>0.0304875671375521</c:v>
                </c:pt>
                <c:pt idx="2">
                  <c:v>0.068172272588155</c:v>
                </c:pt>
                <c:pt idx="3">
                  <c:v>0.109924486578595</c:v>
                </c:pt>
                <c:pt idx="4">
                  <c:v>0.15243783568776</c:v>
                </c:pt>
                <c:pt idx="5">
                  <c:v>0.195215680078821</c:v>
                </c:pt>
                <c:pt idx="6">
                  <c:v>0.238115511355248</c:v>
                </c:pt>
                <c:pt idx="7">
                  <c:v>0.281081480619363</c:v>
                </c:pt>
                <c:pt idx="8">
                  <c:v>0.324087284147715</c:v>
                </c:pt>
                <c:pt idx="9">
                  <c:v>0.367118923164112</c:v>
                </c:pt>
                <c:pt idx="10">
                  <c:v>0.409601343832022</c:v>
                </c:pt>
                <c:pt idx="11">
                  <c:v>0.418001371391077</c:v>
                </c:pt>
                <c:pt idx="12">
                  <c:v>0.475001558398949</c:v>
                </c:pt>
              </c:numCache>
            </c:numRef>
          </c:xVal>
          <c:yVal>
            <c:numRef>
              <c:f>'SS Rod Radial Profile_10'!$C$39:$O$39</c:f>
              <c:numCache>
                <c:formatCode>0.000</c:formatCode>
                <c:ptCount val="13"/>
                <c:pt idx="0">
                  <c:v>418.5842253703705</c:v>
                </c:pt>
                <c:pt idx="1">
                  <c:v>418.2000311111112</c:v>
                </c:pt>
                <c:pt idx="2">
                  <c:v>417.0474483333334</c:v>
                </c:pt>
                <c:pt idx="3">
                  <c:v>414.6969172222223</c:v>
                </c:pt>
                <c:pt idx="4">
                  <c:v>411.0045311111112</c:v>
                </c:pt>
                <c:pt idx="5">
                  <c:v>405.9711461111112</c:v>
                </c:pt>
                <c:pt idx="6">
                  <c:v>399.6035050000001</c:v>
                </c:pt>
                <c:pt idx="7">
                  <c:v>391.9067694444445</c:v>
                </c:pt>
                <c:pt idx="8">
                  <c:v>382.8844994444445</c:v>
                </c:pt>
                <c:pt idx="9">
                  <c:v>372.5391266666667</c:v>
                </c:pt>
                <c:pt idx="10">
                  <c:v>360.8967377777778</c:v>
                </c:pt>
                <c:pt idx="11">
                  <c:v>333.6783655555556</c:v>
                </c:pt>
                <c:pt idx="12">
                  <c:v>328.1098122222223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'SS Rod Radial Profile_10'!$B$40:$B$40</c:f>
              <c:strCache>
                <c:ptCount val="1"/>
                <c:pt idx="0">
                  <c:v>Implicit SS</c:v>
                </c:pt>
              </c:strCache>
            </c:strRef>
          </c:tx>
          <c:spPr>
            <a:ln w="28800">
              <a:noFill/>
            </a:ln>
          </c:spPr>
          <c:marker>
            <c:symbol val="triangle"/>
            <c:size val="7"/>
          </c:marker>
          <c:xVal>
            <c:numRef>
              <c:f>'SS Rod Radial Profile_10'!$C$37:$O$37</c:f>
              <c:numCache>
                <c:formatCode>0.00000</c:formatCode>
                <c:ptCount val="13"/>
                <c:pt idx="0">
                  <c:v>0.0</c:v>
                </c:pt>
                <c:pt idx="1">
                  <c:v>0.0304875671375521</c:v>
                </c:pt>
                <c:pt idx="2">
                  <c:v>0.068172272588155</c:v>
                </c:pt>
                <c:pt idx="3">
                  <c:v>0.109924486578595</c:v>
                </c:pt>
                <c:pt idx="4">
                  <c:v>0.15243783568776</c:v>
                </c:pt>
                <c:pt idx="5">
                  <c:v>0.195215680078821</c:v>
                </c:pt>
                <c:pt idx="6">
                  <c:v>0.238115511355248</c:v>
                </c:pt>
                <c:pt idx="7">
                  <c:v>0.281081480619363</c:v>
                </c:pt>
                <c:pt idx="8">
                  <c:v>0.324087284147715</c:v>
                </c:pt>
                <c:pt idx="9">
                  <c:v>0.367118923164112</c:v>
                </c:pt>
                <c:pt idx="10">
                  <c:v>0.409601343832022</c:v>
                </c:pt>
                <c:pt idx="11">
                  <c:v>0.418001371391077</c:v>
                </c:pt>
                <c:pt idx="12">
                  <c:v>0.475001558398949</c:v>
                </c:pt>
              </c:numCache>
            </c:numRef>
          </c:xVal>
          <c:yVal>
            <c:numRef>
              <c:f>'SS Rod Radial Profile_10'!$C$40:$O$40</c:f>
              <c:numCache>
                <c:formatCode>0.000</c:formatCode>
                <c:ptCount val="13"/>
                <c:pt idx="0">
                  <c:v>418.807595925926</c:v>
                </c:pt>
                <c:pt idx="1">
                  <c:v>418.4225300000001</c:v>
                </c:pt>
                <c:pt idx="2">
                  <c:v>417.2673322222223</c:v>
                </c:pt>
                <c:pt idx="3">
                  <c:v>414.9115300000001</c:v>
                </c:pt>
                <c:pt idx="4">
                  <c:v>411.2110316666668</c:v>
                </c:pt>
                <c:pt idx="5">
                  <c:v>406.1669100000001</c:v>
                </c:pt>
                <c:pt idx="6">
                  <c:v>399.7862072222223</c:v>
                </c:pt>
                <c:pt idx="7">
                  <c:v>392.0744372222223</c:v>
                </c:pt>
                <c:pt idx="8">
                  <c:v>383.0355600000001</c:v>
                </c:pt>
                <c:pt idx="9">
                  <c:v>372.6724394444445</c:v>
                </c:pt>
                <c:pt idx="10">
                  <c:v>361.0116427777779</c:v>
                </c:pt>
                <c:pt idx="11">
                  <c:v>333.74945</c:v>
                </c:pt>
                <c:pt idx="12">
                  <c:v>328.1717072222223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578856"/>
        <c:axId val="2054584600"/>
      </c:scatterChart>
      <c:valAx>
        <c:axId val="2054578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Radius [cm]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54584600"/>
        <c:crossesAt val="0.0"/>
        <c:crossBetween val="midCat"/>
      </c:valAx>
      <c:valAx>
        <c:axId val="20545846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Temperature [C]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54578856"/>
        <c:crossesAt val="0.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'SS Rod Radial Profile_10'!$Q$31:$Q$31</c:f>
              <c:strCache>
                <c:ptCount val="1"/>
                <c:pt idx="0">
                  <c:v>Semi-implicit Trans</c:v>
                </c:pt>
              </c:strCache>
            </c:strRef>
          </c:tx>
          <c:spPr>
            <a:ln w="28800">
              <a:solidFill>
                <a:srgbClr val="000000"/>
              </a:solidFill>
              <a:round/>
            </a:ln>
          </c:spPr>
          <c:marker>
            <c:symbol val="diamond"/>
            <c:size val="7"/>
          </c:marker>
          <c:xVal>
            <c:numRef>
              <c:f>'SS Rod Radial Profile_10'!$C$30:$M$30</c:f>
              <c:numCache>
                <c:formatCode>0.000</c:formatCode>
                <c:ptCount val="11"/>
                <c:pt idx="0">
                  <c:v>0.0</c:v>
                </c:pt>
                <c:pt idx="1">
                  <c:v>0.0304875671375521</c:v>
                </c:pt>
                <c:pt idx="2">
                  <c:v>0.068172272588155</c:v>
                </c:pt>
                <c:pt idx="3">
                  <c:v>0.109924486578595</c:v>
                </c:pt>
                <c:pt idx="4">
                  <c:v>0.15243783568776</c:v>
                </c:pt>
                <c:pt idx="5">
                  <c:v>0.195215680078821</c:v>
                </c:pt>
                <c:pt idx="6">
                  <c:v>0.238115511355248</c:v>
                </c:pt>
                <c:pt idx="7">
                  <c:v>0.281081480619363</c:v>
                </c:pt>
                <c:pt idx="8">
                  <c:v>0.324087284147715</c:v>
                </c:pt>
                <c:pt idx="9">
                  <c:v>0.367118923164112</c:v>
                </c:pt>
                <c:pt idx="10">
                  <c:v>0.409601343832022</c:v>
                </c:pt>
              </c:numCache>
            </c:numRef>
          </c:xVal>
          <c:yVal>
            <c:numRef>
              <c:f>'SS Rod Radial Profile_10'!$R$31:$AD$31</c:f>
              <c:numCache>
                <c:formatCode>0.00</c:formatCode>
                <c:ptCount val="13"/>
                <c:pt idx="0">
                  <c:v>-1.908998143490635</c:v>
                </c:pt>
                <c:pt idx="1">
                  <c:v>-1.965225440719053</c:v>
                </c:pt>
                <c:pt idx="2">
                  <c:v>-1.805940370373449</c:v>
                </c:pt>
                <c:pt idx="3">
                  <c:v>-1.532735785237747</c:v>
                </c:pt>
                <c:pt idx="4">
                  <c:v>-1.289518351978671</c:v>
                </c:pt>
                <c:pt idx="5">
                  <c:v>-1.075431959485087</c:v>
                </c:pt>
                <c:pt idx="6">
                  <c:v>-0.883733829979192</c:v>
                </c:pt>
                <c:pt idx="7">
                  <c:v>-0.709262296794378</c:v>
                </c:pt>
                <c:pt idx="8">
                  <c:v>-0.548457359930651</c:v>
                </c:pt>
                <c:pt idx="9">
                  <c:v>-0.398887352721431</c:v>
                </c:pt>
                <c:pt idx="10">
                  <c:v>-0.398837526163909</c:v>
                </c:pt>
                <c:pt idx="11">
                  <c:v>-0.245505345100104</c:v>
                </c:pt>
                <c:pt idx="12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'SS Rod Radial Profile_10'!$Q$32:$Q$32</c:f>
              <c:strCache>
                <c:ptCount val="1"/>
                <c:pt idx="0">
                  <c:v>Implicit SS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square"/>
            <c:size val="7"/>
          </c:marker>
          <c:xVal>
            <c:numRef>
              <c:f>'SS Rod Radial Profile_10'!$C$30:$M$30</c:f>
              <c:numCache>
                <c:formatCode>0.000</c:formatCode>
                <c:ptCount val="11"/>
                <c:pt idx="0">
                  <c:v>0.0</c:v>
                </c:pt>
                <c:pt idx="1">
                  <c:v>0.0304875671375521</c:v>
                </c:pt>
                <c:pt idx="2">
                  <c:v>0.068172272588155</c:v>
                </c:pt>
                <c:pt idx="3">
                  <c:v>0.109924486578595</c:v>
                </c:pt>
                <c:pt idx="4">
                  <c:v>0.15243783568776</c:v>
                </c:pt>
                <c:pt idx="5">
                  <c:v>0.195215680078821</c:v>
                </c:pt>
                <c:pt idx="6">
                  <c:v>0.238115511355248</c:v>
                </c:pt>
                <c:pt idx="7">
                  <c:v>0.281081480619363</c:v>
                </c:pt>
                <c:pt idx="8">
                  <c:v>0.324087284147715</c:v>
                </c:pt>
                <c:pt idx="9">
                  <c:v>0.367118923164112</c:v>
                </c:pt>
                <c:pt idx="10">
                  <c:v>0.409601343832022</c:v>
                </c:pt>
              </c:numCache>
            </c:numRef>
          </c:xVal>
          <c:yVal>
            <c:numRef>
              <c:f>'SS Rod Radial Profile_10'!$R$32:$AD$32</c:f>
              <c:numCache>
                <c:formatCode>0.00</c:formatCode>
                <c:ptCount val="13"/>
                <c:pt idx="0">
                  <c:v>-1.747522587935066</c:v>
                </c:pt>
                <c:pt idx="1">
                  <c:v>-1.804621551830166</c:v>
                </c:pt>
                <c:pt idx="2">
                  <c:v>-1.647951481484526</c:v>
                </c:pt>
                <c:pt idx="3">
                  <c:v>-1.380018007459967</c:v>
                </c:pt>
                <c:pt idx="4">
                  <c:v>-1.144912796423085</c:v>
                </c:pt>
                <c:pt idx="5">
                  <c:v>-0.941563070596146</c:v>
                </c:pt>
                <c:pt idx="6">
                  <c:v>-0.762926607756981</c:v>
                </c:pt>
                <c:pt idx="7">
                  <c:v>-0.603489519016548</c:v>
                </c:pt>
                <c:pt idx="8">
                  <c:v>-0.459291804375049</c:v>
                </c:pt>
                <c:pt idx="9">
                  <c:v>-0.327469574943649</c:v>
                </c:pt>
                <c:pt idx="10">
                  <c:v>-0.345827526163909</c:v>
                </c:pt>
                <c:pt idx="11">
                  <c:v>-0.236315900655681</c:v>
                </c:pt>
                <c:pt idx="12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393832"/>
        <c:axId val="2020397080"/>
      </c:scatterChart>
      <c:valAx>
        <c:axId val="2020393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20397080"/>
        <c:crossesAt val="0.0"/>
        <c:crossBetween val="midCat"/>
      </c:valAx>
      <c:valAx>
        <c:axId val="20203970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20393832"/>
        <c:crossesAt val="0.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724680</xdr:colOff>
      <xdr:row>50</xdr:row>
      <xdr:rowOff>97920</xdr:rowOff>
    </xdr:from>
    <xdr:to>
      <xdr:col>6</xdr:col>
      <xdr:colOff>291240</xdr:colOff>
      <xdr:row>67</xdr:row>
      <xdr:rowOff>119160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290520</xdr:colOff>
      <xdr:row>2</xdr:row>
      <xdr:rowOff>141120</xdr:rowOff>
    </xdr:from>
    <xdr:to>
      <xdr:col>13</xdr:col>
      <xdr:colOff>129600</xdr:colOff>
      <xdr:row>19</xdr:row>
      <xdr:rowOff>151920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697320</xdr:colOff>
      <xdr:row>47</xdr:row>
      <xdr:rowOff>119160</xdr:rowOff>
    </xdr:from>
    <xdr:to>
      <xdr:col>13</xdr:col>
      <xdr:colOff>674080</xdr:colOff>
      <xdr:row>64</xdr:row>
      <xdr:rowOff>141120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263880</xdr:colOff>
      <xdr:row>71</xdr:row>
      <xdr:rowOff>151920</xdr:rowOff>
    </xdr:from>
    <xdr:to>
      <xdr:col>7</xdr:col>
      <xdr:colOff>226440</xdr:colOff>
      <xdr:row>96</xdr:row>
      <xdr:rowOff>11160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697680</xdr:colOff>
      <xdr:row>66</xdr:row>
      <xdr:rowOff>87120</xdr:rowOff>
    </xdr:from>
    <xdr:to>
      <xdr:col>14</xdr:col>
      <xdr:colOff>536760</xdr:colOff>
      <xdr:row>83</xdr:row>
      <xdr:rowOff>97560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673879</xdr:colOff>
      <xdr:row>50</xdr:row>
      <xdr:rowOff>27365</xdr:rowOff>
    </xdr:from>
    <xdr:to>
      <xdr:col>9</xdr:col>
      <xdr:colOff>28222</xdr:colOff>
      <xdr:row>67</xdr:row>
      <xdr:rowOff>48605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389297</xdr:colOff>
      <xdr:row>2</xdr:row>
      <xdr:rowOff>42341</xdr:rowOff>
    </xdr:from>
    <xdr:to>
      <xdr:col>15</xdr:col>
      <xdr:colOff>620889</xdr:colOff>
      <xdr:row>20</xdr:row>
      <xdr:rowOff>42334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36919</xdr:colOff>
      <xdr:row>66</xdr:row>
      <xdr:rowOff>147381</xdr:rowOff>
    </xdr:from>
    <xdr:to>
      <xdr:col>23</xdr:col>
      <xdr:colOff>39079</xdr:colOff>
      <xdr:row>84</xdr:row>
      <xdr:rowOff>14119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79612</xdr:colOff>
      <xdr:row>50</xdr:row>
      <xdr:rowOff>2454</xdr:rowOff>
    </xdr:from>
    <xdr:to>
      <xdr:col>17</xdr:col>
      <xdr:colOff>621426</xdr:colOff>
      <xdr:row>67</xdr:row>
      <xdr:rowOff>12893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724680</xdr:colOff>
      <xdr:row>50</xdr:row>
      <xdr:rowOff>97920</xdr:rowOff>
    </xdr:from>
    <xdr:to>
      <xdr:col>6</xdr:col>
      <xdr:colOff>291240</xdr:colOff>
      <xdr:row>67</xdr:row>
      <xdr:rowOff>119160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290520</xdr:colOff>
      <xdr:row>2</xdr:row>
      <xdr:rowOff>141120</xdr:rowOff>
    </xdr:from>
    <xdr:to>
      <xdr:col>13</xdr:col>
      <xdr:colOff>129600</xdr:colOff>
      <xdr:row>19</xdr:row>
      <xdr:rowOff>151920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697320</xdr:colOff>
      <xdr:row>47</xdr:row>
      <xdr:rowOff>119160</xdr:rowOff>
    </xdr:from>
    <xdr:to>
      <xdr:col>13</xdr:col>
      <xdr:colOff>674080</xdr:colOff>
      <xdr:row>64</xdr:row>
      <xdr:rowOff>141120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263880</xdr:colOff>
      <xdr:row>71</xdr:row>
      <xdr:rowOff>151920</xdr:rowOff>
    </xdr:from>
    <xdr:to>
      <xdr:col>9</xdr:col>
      <xdr:colOff>352778</xdr:colOff>
      <xdr:row>99</xdr:row>
      <xdr:rowOff>56444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697680</xdr:colOff>
      <xdr:row>66</xdr:row>
      <xdr:rowOff>87120</xdr:rowOff>
    </xdr:from>
    <xdr:to>
      <xdr:col>14</xdr:col>
      <xdr:colOff>536760</xdr:colOff>
      <xdr:row>83</xdr:row>
      <xdr:rowOff>97560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36300</xdr:colOff>
      <xdr:row>7</xdr:row>
      <xdr:rowOff>131466</xdr:rowOff>
    </xdr:from>
    <xdr:to>
      <xdr:col>26</xdr:col>
      <xdr:colOff>225778</xdr:colOff>
      <xdr:row>24</xdr:row>
      <xdr:rowOff>70556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opLeftCell="A17" zoomScale="90" zoomScaleNormal="90" zoomScalePageLayoutView="90" workbookViewId="0">
      <selection activeCell="H28" sqref="H28"/>
    </sheetView>
  </sheetViews>
  <sheetFormatPr baseColWidth="10" defaultColWidth="8.83203125" defaultRowHeight="12" x14ac:dyDescent="0"/>
  <cols>
    <col min="3" max="5" width="8.83203125" style="3"/>
  </cols>
  <sheetData>
    <row r="1" spans="3:14">
      <c r="G1" s="4"/>
    </row>
    <row r="2" spans="3:14">
      <c r="G2" s="4"/>
    </row>
    <row r="3" spans="3:14">
      <c r="C3" s="5" t="s">
        <v>0</v>
      </c>
      <c r="G3" s="6" t="s">
        <v>1</v>
      </c>
      <c r="L3" s="6" t="s">
        <v>2</v>
      </c>
    </row>
    <row r="4" spans="3:14">
      <c r="C4" s="3" t="s">
        <v>3</v>
      </c>
      <c r="D4" s="3">
        <v>10</v>
      </c>
      <c r="G4" t="s">
        <v>4</v>
      </c>
      <c r="H4" s="7">
        <v>5.3770697959999998</v>
      </c>
      <c r="I4" t="s">
        <v>5</v>
      </c>
      <c r="L4" s="3" t="s">
        <v>6</v>
      </c>
      <c r="M4" s="3" t="s">
        <v>7</v>
      </c>
      <c r="N4" s="3" t="s">
        <v>8</v>
      </c>
    </row>
    <row r="5" spans="3:14">
      <c r="C5" s="3" t="s">
        <v>9</v>
      </c>
      <c r="D5" s="3">
        <v>20</v>
      </c>
      <c r="G5" t="s">
        <v>10</v>
      </c>
      <c r="H5" s="7">
        <v>14.83</v>
      </c>
      <c r="I5" t="s">
        <v>5</v>
      </c>
      <c r="L5" s="3" t="s">
        <v>11</v>
      </c>
      <c r="M5" s="3" t="s">
        <v>12</v>
      </c>
      <c r="N5" s="3">
        <v>1.0543499999999999</v>
      </c>
    </row>
    <row r="6" spans="3:14">
      <c r="C6" s="3" t="s">
        <v>13</v>
      </c>
      <c r="D6" s="3">
        <v>3.6579999999999999</v>
      </c>
      <c r="E6" s="3" t="s">
        <v>14</v>
      </c>
      <c r="G6" t="s">
        <v>15</v>
      </c>
      <c r="H6" s="8">
        <v>10970.404570000001</v>
      </c>
      <c r="I6" t="s">
        <v>16</v>
      </c>
      <c r="L6" s="3" t="s">
        <v>17</v>
      </c>
      <c r="M6" s="3" t="s">
        <v>14</v>
      </c>
      <c r="N6" s="3">
        <v>0.30480099999999999</v>
      </c>
    </row>
    <row r="7" spans="3:14">
      <c r="C7" s="3" t="s">
        <v>18</v>
      </c>
      <c r="D7" s="3">
        <f>Problem_Setup!D6/Problem_Setup!D5</f>
        <v>0.18290000000000001</v>
      </c>
      <c r="E7" s="3" t="s">
        <v>14</v>
      </c>
      <c r="G7" t="s">
        <v>19</v>
      </c>
      <c r="H7" s="3">
        <v>8470.57</v>
      </c>
      <c r="I7" t="s">
        <v>16</v>
      </c>
      <c r="L7" s="3" t="s">
        <v>20</v>
      </c>
      <c r="M7" s="3" t="s">
        <v>21</v>
      </c>
      <c r="N7" s="3">
        <f>5/9</f>
        <v>0.55555555555555558</v>
      </c>
    </row>
    <row r="8" spans="3:14">
      <c r="C8" s="3" t="s">
        <v>22</v>
      </c>
      <c r="D8" s="3">
        <f>0.45</f>
        <v>0.45</v>
      </c>
      <c r="E8" s="3" t="s">
        <v>23</v>
      </c>
      <c r="G8" t="s">
        <v>24</v>
      </c>
      <c r="H8" s="9">
        <v>0.28894779599999998</v>
      </c>
      <c r="I8" t="s">
        <v>25</v>
      </c>
      <c r="L8" t="s">
        <v>26</v>
      </c>
      <c r="M8" t="s">
        <v>27</v>
      </c>
      <c r="N8">
        <f>1000*t_btu_kw/(t_R_K*t_ft_m^2)/3600</f>
        <v>5.674427240093328</v>
      </c>
    </row>
    <row r="9" spans="3:14">
      <c r="C9" s="3" t="s">
        <v>28</v>
      </c>
      <c r="D9" s="3">
        <f>0.8192/2</f>
        <v>0.40960000000000002</v>
      </c>
      <c r="E9" s="3" t="s">
        <v>23</v>
      </c>
      <c r="G9" t="s">
        <v>29</v>
      </c>
      <c r="H9" s="9">
        <v>0.43099999999999999</v>
      </c>
      <c r="I9" t="s">
        <v>25</v>
      </c>
    </row>
    <row r="10" spans="3:14">
      <c r="C10" s="3" t="s">
        <v>30</v>
      </c>
      <c r="D10" s="10">
        <f>0.057</f>
        <v>5.7000000000000002E-2</v>
      </c>
      <c r="E10" s="3" t="s">
        <v>23</v>
      </c>
      <c r="G10" t="s">
        <v>31</v>
      </c>
      <c r="H10" s="8">
        <v>5678.3</v>
      </c>
      <c r="I10" t="s">
        <v>27</v>
      </c>
      <c r="L10" s="11"/>
    </row>
    <row r="11" spans="3:14">
      <c r="C11" s="3" t="s">
        <v>32</v>
      </c>
      <c r="D11" s="3">
        <f>D10-(D8-D9)</f>
        <v>1.6600000000000011E-2</v>
      </c>
      <c r="E11" s="3" t="s">
        <v>14</v>
      </c>
    </row>
    <row r="12" spans="3:14">
      <c r="C12" s="3" t="s">
        <v>33</v>
      </c>
      <c r="D12" s="3">
        <v>1.26</v>
      </c>
      <c r="E12" s="3" t="s">
        <v>23</v>
      </c>
    </row>
    <row r="13" spans="3:14">
      <c r="C13" s="3" t="s">
        <v>34</v>
      </c>
      <c r="D13" s="18">
        <f>(2*PI()*'SS Rod Radial Profile_10'!O30/100*Problem_Setup!D7)</f>
        <v>5.4586922242814001E-3</v>
      </c>
      <c r="E13" s="3" t="s">
        <v>35</v>
      </c>
      <c r="I13" s="8"/>
    </row>
    <row r="14" spans="3:14">
      <c r="C14" s="3" t="s">
        <v>36</v>
      </c>
      <c r="D14" s="18">
        <f>(D12^2-(PI()*D8^2))*10^-4</f>
        <v>9.51427487648067E-5</v>
      </c>
      <c r="E14" s="3" t="s">
        <v>35</v>
      </c>
    </row>
    <row r="15" spans="3:14">
      <c r="C15" s="3" t="s">
        <v>37</v>
      </c>
      <c r="D15" s="18">
        <f>2*PI()*D8/100</f>
        <v>2.8274333882308138E-2</v>
      </c>
      <c r="E15" s="3" t="s">
        <v>14</v>
      </c>
      <c r="G15" s="6" t="s">
        <v>38</v>
      </c>
      <c r="M15" s="11"/>
    </row>
    <row r="16" spans="3:14">
      <c r="C16" s="3" t="s">
        <v>39</v>
      </c>
      <c r="E16" s="3" t="s">
        <v>40</v>
      </c>
      <c r="G16" t="s">
        <v>41</v>
      </c>
      <c r="H16" s="10">
        <v>0.31110354838709697</v>
      </c>
      <c r="I16" t="s">
        <v>42</v>
      </c>
    </row>
    <row r="17" spans="3:10">
      <c r="C17" s="3" t="s">
        <v>43</v>
      </c>
      <c r="D17" s="3">
        <f>A_surf*L_chan</f>
        <v>1.9967896156421361E-2</v>
      </c>
      <c r="E17" s="3" t="s">
        <v>44</v>
      </c>
      <c r="G17" t="s">
        <v>45</v>
      </c>
      <c r="H17" s="10">
        <v>3.8641217872042999E-2</v>
      </c>
      <c r="I17" t="s">
        <v>46</v>
      </c>
    </row>
    <row r="18" spans="3:10">
      <c r="C18" s="3" t="s">
        <v>47</v>
      </c>
      <c r="D18" s="3">
        <f>vol_fuel*Rho_fuel</f>
        <v>219.05589924769035</v>
      </c>
      <c r="E18" s="3" t="s">
        <v>48</v>
      </c>
      <c r="G18" t="s">
        <v>49</v>
      </c>
      <c r="H18" s="10">
        <f>Problem_Setup!D6/(2*'SS Rod Radial Profile_10'!O30/100)</f>
        <v>385.05136828705753</v>
      </c>
      <c r="J18" t="s">
        <v>50</v>
      </c>
    </row>
    <row r="19" spans="3:10">
      <c r="G19" t="s">
        <v>51</v>
      </c>
      <c r="H19" s="10">
        <v>738.52997840246906</v>
      </c>
    </row>
    <row r="20" spans="3:10">
      <c r="G20" t="s">
        <v>52</v>
      </c>
      <c r="H20" s="18">
        <v>449606.21216661902</v>
      </c>
      <c r="J20" t="s">
        <v>53</v>
      </c>
    </row>
    <row r="21" spans="3:10">
      <c r="G21" t="s">
        <v>54</v>
      </c>
      <c r="H21" s="10">
        <v>0.91397880732911596</v>
      </c>
      <c r="J21" t="s">
        <v>55</v>
      </c>
    </row>
    <row r="22" spans="3:10">
      <c r="C22" s="5" t="s">
        <v>56</v>
      </c>
      <c r="G22" t="s">
        <v>57</v>
      </c>
      <c r="H22" s="10">
        <v>1.65522355798267</v>
      </c>
      <c r="I22" t="s">
        <v>58</v>
      </c>
    </row>
    <row r="23" spans="3:10">
      <c r="C23" s="3" t="s">
        <v>59</v>
      </c>
      <c r="D23" s="3">
        <v>4</v>
      </c>
      <c r="E23" s="3" t="s">
        <v>60</v>
      </c>
      <c r="G23" t="s">
        <v>57</v>
      </c>
      <c r="H23" s="18">
        <f>Problem_Setup!H22*3600*t_htc</f>
        <v>33812.804325099816</v>
      </c>
      <c r="I23" t="s">
        <v>27</v>
      </c>
    </row>
    <row r="24" spans="3:10">
      <c r="C24" s="3" t="s">
        <v>61</v>
      </c>
      <c r="D24" s="9">
        <f>Problem_Setup!D23*Problem_Setup!D6</f>
        <v>14.632</v>
      </c>
      <c r="E24" s="3" t="s">
        <v>62</v>
      </c>
      <c r="G24" t="s">
        <v>63</v>
      </c>
      <c r="H24" s="10">
        <f>Problem_Setup!D24*1000/(Problem_Setup!H23*A_surf*Problem_Setup!D5)</f>
        <v>3.9637284808690443</v>
      </c>
      <c r="I24" t="s">
        <v>21</v>
      </c>
    </row>
    <row r="25" spans="3:10">
      <c r="C25" s="3" t="s">
        <v>64</v>
      </c>
      <c r="D25" s="3">
        <f>Problem_Setup!D23/(PI()*((Problem_Setup!D9/100)^2))</f>
        <v>75890.990777919462</v>
      </c>
      <c r="E25" s="3" t="s">
        <v>65</v>
      </c>
    </row>
    <row r="26" spans="3:10">
      <c r="C26" s="3" t="s">
        <v>66</v>
      </c>
      <c r="D26" s="3">
        <f>Problem_Setup!D24/A_surf</f>
        <v>2680.4955104290025</v>
      </c>
      <c r="E26" s="3" t="s">
        <v>67</v>
      </c>
    </row>
    <row r="27" spans="3:10">
      <c r="G27" s="6" t="s">
        <v>68</v>
      </c>
    </row>
    <row r="28" spans="3:10">
      <c r="G28" t="s">
        <v>69</v>
      </c>
      <c r="H28">
        <f>1/(hgap*2*PI()*R_fuel/100*dz)</f>
        <v>3.7413483328712444E-2</v>
      </c>
      <c r="I28" t="s">
        <v>70</v>
      </c>
    </row>
    <row r="29" spans="3:10">
      <c r="C29" s="5" t="s">
        <v>71</v>
      </c>
      <c r="G29" t="s">
        <v>72</v>
      </c>
      <c r="H29">
        <f>LN(R_rod/(R_rod-D10))/(2*PI()*dz*k_clad)</f>
        <v>7.9470457605706184E-3</v>
      </c>
      <c r="I29" t="s">
        <v>70</v>
      </c>
    </row>
    <row r="30" spans="3:10">
      <c r="C30" s="3" t="s">
        <v>73</v>
      </c>
      <c r="D30" s="3">
        <v>0.3</v>
      </c>
      <c r="E30" s="3" t="s">
        <v>74</v>
      </c>
      <c r="G30" t="s">
        <v>75</v>
      </c>
      <c r="H30">
        <f>1/(A_surf*H23)</f>
        <v>5.417890214419142E-3</v>
      </c>
      <c r="I30" t="s">
        <v>70</v>
      </c>
    </row>
    <row r="31" spans="3:10">
      <c r="C31" s="3" t="s">
        <v>76</v>
      </c>
      <c r="D31" s="3">
        <v>16.5</v>
      </c>
      <c r="E31" s="3" t="s">
        <v>77</v>
      </c>
    </row>
    <row r="32" spans="3:10">
      <c r="C32" s="3" t="s">
        <v>78</v>
      </c>
      <c r="D32" s="3">
        <v>290</v>
      </c>
      <c r="E32" s="3" t="s">
        <v>79</v>
      </c>
      <c r="G32" s="6" t="s">
        <v>80</v>
      </c>
    </row>
    <row r="33" spans="1:9">
      <c r="C33" s="3" t="s">
        <v>81</v>
      </c>
      <c r="D33" s="3">
        <v>1283.8</v>
      </c>
      <c r="E33" s="3" t="s">
        <v>82</v>
      </c>
      <c r="G33" t="s">
        <v>83</v>
      </c>
      <c r="H33">
        <f>q_lin*dz*1000*H28</f>
        <v>27.371704403286024</v>
      </c>
      <c r="I33" t="s">
        <v>21</v>
      </c>
    </row>
    <row r="34" spans="1:9">
      <c r="C34" s="3" t="s">
        <v>84</v>
      </c>
      <c r="D34" s="3">
        <v>5.2188999999999997</v>
      </c>
      <c r="E34" s="3" t="s">
        <v>85</v>
      </c>
      <c r="G34" t="s">
        <v>86</v>
      </c>
      <c r="H34">
        <f>q_lin*dz*1000*H29</f>
        <v>5.8140586784334642</v>
      </c>
      <c r="I34" t="s">
        <v>21</v>
      </c>
    </row>
    <row r="35" spans="1:9">
      <c r="C35" s="3" t="s">
        <v>87</v>
      </c>
      <c r="D35" s="3">
        <v>0.58213000000000004</v>
      </c>
      <c r="E35" s="3" t="s">
        <v>88</v>
      </c>
      <c r="G35" t="s">
        <v>89</v>
      </c>
      <c r="H35">
        <f>q_lin*dz*1000*H30</f>
        <v>3.9637284808690443</v>
      </c>
      <c r="I35" t="s">
        <v>21</v>
      </c>
    </row>
    <row r="36" spans="1:9">
      <c r="C36" s="3" t="s">
        <v>90</v>
      </c>
      <c r="D36" s="12">
        <v>9.2744999999999994E-5</v>
      </c>
      <c r="E36" s="3" t="s">
        <v>91</v>
      </c>
    </row>
    <row r="37" spans="1:9">
      <c r="A37" s="3" t="s">
        <v>92</v>
      </c>
      <c r="B37" s="3">
        <f>(D34+D38)/2</f>
        <v>5.3213499999999998</v>
      </c>
      <c r="C37" s="3" t="s">
        <v>93</v>
      </c>
      <c r="D37" s="3">
        <f>D32+D24/(B37*M_dot)</f>
        <v>299.1655939438927</v>
      </c>
      <c r="E37" s="3" t="s">
        <v>79</v>
      </c>
    </row>
    <row r="38" spans="1:9">
      <c r="A38" s="3" t="s">
        <v>85</v>
      </c>
      <c r="C38" s="3" t="s">
        <v>94</v>
      </c>
      <c r="D38" s="3">
        <v>5.4238</v>
      </c>
      <c r="E38" s="3" t="s">
        <v>85</v>
      </c>
    </row>
    <row r="39" spans="1:9">
      <c r="C39" s="3" t="s">
        <v>95</v>
      </c>
      <c r="D39" s="3">
        <v>0.58213000000000004</v>
      </c>
      <c r="E39" s="3" t="s">
        <v>88</v>
      </c>
    </row>
    <row r="40" spans="1:9">
      <c r="C40" s="3" t="s">
        <v>96</v>
      </c>
      <c r="E40" s="3" t="s">
        <v>91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4294967292" verticalDpi="4294967292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7"/>
  <sheetViews>
    <sheetView topLeftCell="A19" zoomScale="90" zoomScaleNormal="90" zoomScalePageLayoutView="90" workbookViewId="0">
      <selection activeCell="D45" sqref="D45"/>
    </sheetView>
  </sheetViews>
  <sheetFormatPr baseColWidth="10" defaultColWidth="8.83203125" defaultRowHeight="12" x14ac:dyDescent="0"/>
  <sheetData>
    <row r="1" spans="2:5">
      <c r="B1" s="2" t="s">
        <v>97</v>
      </c>
      <c r="C1" s="2"/>
      <c r="D1" s="2"/>
      <c r="E1" s="2"/>
    </row>
    <row r="2" spans="2:5">
      <c r="B2" s="2"/>
      <c r="C2" s="2"/>
      <c r="D2" s="2"/>
      <c r="E2" s="2"/>
    </row>
    <row r="4" spans="2:5">
      <c r="B4" t="s">
        <v>98</v>
      </c>
    </row>
    <row r="6" spans="2:5">
      <c r="B6" s="6" t="s">
        <v>99</v>
      </c>
    </row>
    <row r="7" spans="2:5">
      <c r="C7" t="s">
        <v>100</v>
      </c>
      <c r="D7" t="s">
        <v>101</v>
      </c>
      <c r="E7" t="s">
        <v>101</v>
      </c>
    </row>
    <row r="8" spans="2:5">
      <c r="C8" t="s">
        <v>102</v>
      </c>
      <c r="D8" t="s">
        <v>103</v>
      </c>
      <c r="E8" t="s">
        <v>82</v>
      </c>
    </row>
    <row r="9" spans="2:5">
      <c r="B9" s="3" t="s">
        <v>104</v>
      </c>
      <c r="C9" s="9">
        <v>0.66138600000000003</v>
      </c>
      <c r="D9" s="3">
        <v>554.23225806451603</v>
      </c>
      <c r="E9" s="3">
        <f>2.326*D9</f>
        <v>1289.1442322580642</v>
      </c>
    </row>
    <row r="10" spans="2:5">
      <c r="B10" s="3" t="s">
        <v>105</v>
      </c>
      <c r="C10" s="9">
        <v>0.66139538674123899</v>
      </c>
      <c r="D10" s="3">
        <v>575.51767919587201</v>
      </c>
      <c r="E10" s="3">
        <f>2.326*D10</f>
        <v>1338.6541218095983</v>
      </c>
    </row>
    <row r="11" spans="2:5">
      <c r="B11" s="3" t="s">
        <v>106</v>
      </c>
      <c r="C11" s="3">
        <f>C10</f>
        <v>0.66139538674123899</v>
      </c>
      <c r="D11" s="3">
        <v>575.54545097384698</v>
      </c>
      <c r="E11" s="3">
        <f>2.326*D11</f>
        <v>1338.7187189651681</v>
      </c>
    </row>
    <row r="12" spans="2:5">
      <c r="B12" s="3" t="s">
        <v>107</v>
      </c>
      <c r="C12" s="3">
        <f>C11</f>
        <v>0.66139538674123899</v>
      </c>
      <c r="D12" s="3">
        <v>575.51049558913098</v>
      </c>
      <c r="E12" s="3">
        <f>2.326*D12</f>
        <v>1338.6374127403187</v>
      </c>
    </row>
    <row r="16" spans="2:5">
      <c r="B16" s="6" t="s">
        <v>108</v>
      </c>
    </row>
    <row r="17" spans="1:25">
      <c r="B17" s="3"/>
      <c r="C17" s="3" t="s">
        <v>109</v>
      </c>
      <c r="D17" s="3" t="s">
        <v>110</v>
      </c>
      <c r="E17" s="3" t="s">
        <v>111</v>
      </c>
    </row>
    <row r="18" spans="1:25">
      <c r="B18" s="3"/>
      <c r="C18" s="3" t="s">
        <v>82</v>
      </c>
      <c r="D18" s="3" t="s">
        <v>62</v>
      </c>
      <c r="E18" s="3" t="s">
        <v>60</v>
      </c>
    </row>
    <row r="19" spans="1:25">
      <c r="B19" s="3" t="s">
        <v>112</v>
      </c>
      <c r="C19" s="3">
        <f>q_lin*L_chan/(M_dot)</f>
        <v>48.773333333333333</v>
      </c>
      <c r="D19" s="13">
        <f>M_dot*C19</f>
        <v>14.632</v>
      </c>
      <c r="E19" s="7">
        <f>q_lin</f>
        <v>4</v>
      </c>
      <c r="F19" t="s">
        <v>113</v>
      </c>
    </row>
    <row r="20" spans="1:25">
      <c r="B20" s="3" t="s">
        <v>105</v>
      </c>
      <c r="C20" s="7">
        <f>E10-$E$9</f>
        <v>49.509889551534116</v>
      </c>
      <c r="D20" s="13">
        <f>M_dot*C20</f>
        <v>14.852966865460234</v>
      </c>
      <c r="E20" s="7">
        <f>D20/L_chan</f>
        <v>4.060406469507992</v>
      </c>
      <c r="F20" s="14">
        <f>(E20-$E$19)/$E$19</f>
        <v>1.5101617376998E-2</v>
      </c>
    </row>
    <row r="21" spans="1:25">
      <c r="B21" s="3" t="s">
        <v>106</v>
      </c>
      <c r="C21" s="7">
        <f>E11-$E$9</f>
        <v>49.574486707103915</v>
      </c>
      <c r="D21" s="13">
        <f>M_dot*C21</f>
        <v>14.872346012131175</v>
      </c>
      <c r="E21" s="7">
        <f>D21/L_chan</f>
        <v>4.0657042132671339</v>
      </c>
      <c r="F21" s="14">
        <f>(E21-$E$19)/$E$19</f>
        <v>1.6426053316783484E-2</v>
      </c>
    </row>
    <row r="22" spans="1:25">
      <c r="B22" s="3" t="s">
        <v>107</v>
      </c>
      <c r="C22" s="7">
        <f>E12-$E$9</f>
        <v>49.493180482254502</v>
      </c>
      <c r="D22" s="13">
        <f>M_dot*C22</f>
        <v>14.847954144676351</v>
      </c>
      <c r="E22" s="7">
        <f>D22/L_chan</f>
        <v>4.0590361248431792</v>
      </c>
      <c r="F22" s="14">
        <f>(E22-$E$19)/$E$19</f>
        <v>1.4759031210794804E-2</v>
      </c>
    </row>
    <row r="23" spans="1:25">
      <c r="C23" s="6" t="s">
        <v>99</v>
      </c>
      <c r="K23" s="3" t="s">
        <v>114</v>
      </c>
    </row>
    <row r="24" spans="1:25">
      <c r="B24" t="s">
        <v>115</v>
      </c>
      <c r="D24" s="11">
        <f>D25</f>
        <v>2.11162829960637E-3</v>
      </c>
      <c r="E24" s="11">
        <f>E25</f>
        <v>4.7217444211321404E-3</v>
      </c>
      <c r="F24">
        <f>F25-E25</f>
        <v>2.89183968781947E-3</v>
      </c>
      <c r="G24">
        <f>G25-F25</f>
        <v>2.9445573890802901E-3</v>
      </c>
      <c r="H24">
        <f>H25-G25</f>
        <v>2.8801787119419001E-3</v>
      </c>
      <c r="I24">
        <f>I25-H25</f>
        <v>2.7559055118109993E-4</v>
      </c>
      <c r="J24">
        <f>J25-I25</f>
        <v>1.8700787401573996E-3</v>
      </c>
      <c r="K24" s="15">
        <f>(t_in+q_lin*dz*2/(M_dot*cp_in))*9/5+32</f>
        <v>555.68219356569398</v>
      </c>
    </row>
    <row r="25" spans="1:25">
      <c r="B25" t="s">
        <v>116</v>
      </c>
      <c r="C25" s="11">
        <v>0</v>
      </c>
      <c r="D25" s="11">
        <v>2.11162829960637E-3</v>
      </c>
      <c r="E25" s="11">
        <v>4.7217444211321404E-3</v>
      </c>
      <c r="F25" s="11">
        <v>7.6135841089516104E-3</v>
      </c>
      <c r="G25" s="11">
        <v>1.05581414980319E-2</v>
      </c>
      <c r="H25" s="11">
        <v>1.3438320209973801E-2</v>
      </c>
      <c r="I25" s="11">
        <v>1.3713910761154901E-2</v>
      </c>
      <c r="J25" s="11">
        <v>1.55839895013123E-2</v>
      </c>
      <c r="K25" s="11">
        <f>K24</f>
        <v>555.68219356569398</v>
      </c>
    </row>
    <row r="26" spans="1:25">
      <c r="A26" t="s">
        <v>117</v>
      </c>
      <c r="B26" s="3" t="s">
        <v>105</v>
      </c>
      <c r="C26" s="7">
        <f>1/3*(4*D26-E26)</f>
        <v>722.30656733333331</v>
      </c>
      <c r="D26" s="26">
        <v>719.22505999999998</v>
      </c>
      <c r="E26" s="7">
        <v>709.98053800000002</v>
      </c>
      <c r="F26" s="7">
        <v>691.125854</v>
      </c>
      <c r="G26" s="7">
        <v>661.50276199999996</v>
      </c>
      <c r="H26" s="7">
        <v>621.49555399999997</v>
      </c>
      <c r="I26" s="7">
        <v>573.28956300000004</v>
      </c>
      <c r="J26" s="7">
        <v>563.42727300000001</v>
      </c>
      <c r="K26" s="7">
        <v>563.42727300000001</v>
      </c>
    </row>
    <row r="27" spans="1:25">
      <c r="A27" t="s">
        <v>117</v>
      </c>
      <c r="B27" s="3" t="s">
        <v>106</v>
      </c>
      <c r="C27" s="7">
        <f>1/3*(4*D27-E27)</f>
        <v>722.65344966666657</v>
      </c>
      <c r="D27" s="27">
        <v>719.56436599999995</v>
      </c>
      <c r="E27">
        <v>710.29711499999996</v>
      </c>
      <c r="F27">
        <v>691.39834599999995</v>
      </c>
      <c r="G27">
        <v>661.71212700000001</v>
      </c>
      <c r="H27">
        <v>621.63046899999995</v>
      </c>
      <c r="I27">
        <v>573.328937</v>
      </c>
      <c r="J27">
        <v>563.44662300000005</v>
      </c>
      <c r="K27">
        <v>563.44662300000005</v>
      </c>
    </row>
    <row r="28" spans="1:25">
      <c r="A28" t="s">
        <v>117</v>
      </c>
      <c r="B28" s="3" t="s">
        <v>107</v>
      </c>
      <c r="C28" s="7">
        <f>1/3*(4*D28-E28)</f>
        <v>722.2483543333334</v>
      </c>
      <c r="D28" s="27">
        <v>719.16811900000005</v>
      </c>
      <c r="E28">
        <v>709.927413</v>
      </c>
      <c r="F28" s="11">
        <v>691.08012799999995</v>
      </c>
      <c r="G28" s="11">
        <v>661.46763099999998</v>
      </c>
      <c r="H28" s="11">
        <v>621.47291900000005</v>
      </c>
      <c r="I28" s="11">
        <v>573.282963</v>
      </c>
      <c r="J28" s="11">
        <v>563.42403400000001</v>
      </c>
      <c r="K28" s="11">
        <v>563.42403400000001</v>
      </c>
      <c r="M28" s="11"/>
    </row>
    <row r="29" spans="1:25">
      <c r="C29" s="6" t="s">
        <v>118</v>
      </c>
      <c r="K29" t="e">
        <f>D24/D5*I29</f>
        <v>#DIV/0!</v>
      </c>
    </row>
    <row r="30" spans="1:25">
      <c r="B30" s="3" t="s">
        <v>119</v>
      </c>
      <c r="C30" s="7">
        <f t="shared" ref="C30:J30" si="0">(C25)*t_ft_m*100</f>
        <v>0</v>
      </c>
      <c r="D30" s="7">
        <f t="shared" si="0"/>
        <v>6.436264173483211E-2</v>
      </c>
      <c r="E30" s="7">
        <f t="shared" si="0"/>
        <v>0.14391924213054974</v>
      </c>
      <c r="F30" s="7">
        <f t="shared" si="0"/>
        <v>0.23206280499925594</v>
      </c>
      <c r="G30" s="7">
        <f t="shared" si="0"/>
        <v>0.32181320867416213</v>
      </c>
      <c r="H30" s="7">
        <f t="shared" si="0"/>
        <v>0.40960134383202246</v>
      </c>
      <c r="I30" s="7">
        <f t="shared" si="0"/>
        <v>0.41800137139107751</v>
      </c>
      <c r="J30" s="7">
        <f t="shared" si="0"/>
        <v>0.47500155839894903</v>
      </c>
      <c r="L30" s="7"/>
      <c r="M30" s="5" t="s">
        <v>120</v>
      </c>
      <c r="N30" s="9"/>
      <c r="O30" s="3"/>
      <c r="P30" s="3"/>
      <c r="Q30" s="3"/>
      <c r="R30" s="3"/>
      <c r="S30" s="3"/>
      <c r="T30" s="3"/>
      <c r="U30" s="3"/>
    </row>
    <row r="31" spans="1:25">
      <c r="A31" t="s">
        <v>121</v>
      </c>
      <c r="B31" s="3" t="s">
        <v>112</v>
      </c>
      <c r="C31" s="7">
        <f>q_dot*1000/(4*k_fuel)*((R_fuel/100)^2)*(1-(C30/R_fuel)^2)+delta_gap+delta_clad</f>
        <v>92.383411291638822</v>
      </c>
      <c r="D31" s="7">
        <f>q_dot*1000/(4*k_fuel)*((R_fuel/100)^2)*(1-(D30/R_fuel)^2)+delta_gap+delta_clad</f>
        <v>90.921731374439602</v>
      </c>
      <c r="E31" s="7">
        <f>q_dot*1000/(4*k_fuel)*((R_fuel/100)^2)*(1-(E30/R_fuel)^2)+delta_gap+delta_clad</f>
        <v>85.075011705642709</v>
      </c>
      <c r="F31" s="7">
        <f>q_dot*1000/(4*k_fuel)*((R_fuel/100)^2)*(1-(F30/R_fuel)^2)+delta_gap+delta_clad</f>
        <v>73.38157236804895</v>
      </c>
      <c r="G31" s="7">
        <f>q_dot*1000/(4*k_fuel)*((R_fuel/100)^2)*(1-(G30/R_fuel)^2)+delta_gap+delta_clad</f>
        <v>55.841413361658013</v>
      </c>
      <c r="H31" s="7">
        <f>delta_gap+delta_clad</f>
        <v>33.185763081719486</v>
      </c>
      <c r="I31" s="7">
        <f>delta_clad</f>
        <v>5.8140586784334642</v>
      </c>
      <c r="J31" s="7">
        <v>0</v>
      </c>
      <c r="K31" s="7">
        <f>-delta_fluid</f>
        <v>-3.9637284808690443</v>
      </c>
      <c r="L31" s="3" t="s">
        <v>105</v>
      </c>
      <c r="M31" s="8">
        <f t="shared" ref="M31:Q33" si="1">C32-C$31</f>
        <v>-4.1171366620092158</v>
      </c>
      <c r="N31" s="8">
        <f t="shared" si="1"/>
        <v>-4.3674052633285072</v>
      </c>
      <c r="O31" s="8">
        <f t="shared" si="1"/>
        <v>-3.6565311500871474</v>
      </c>
      <c r="P31" s="8">
        <f t="shared" si="1"/>
        <v>-2.4379162569378394</v>
      </c>
      <c r="Q31" s="8">
        <f t="shared" si="1"/>
        <v>-1.3550305838802643</v>
      </c>
      <c r="R31" s="8">
        <f t="shared" ref="R31:U33" si="2">C32-C$31</f>
        <v>-4.1171366620092158</v>
      </c>
      <c r="S31" s="8">
        <f t="shared" si="2"/>
        <v>-4.3674052633285072</v>
      </c>
      <c r="T31" s="8">
        <f t="shared" si="2"/>
        <v>-3.6565311500871474</v>
      </c>
      <c r="U31" s="8">
        <f t="shared" si="2"/>
        <v>-2.4379162569378394</v>
      </c>
      <c r="V31" s="8">
        <f>H32-H$31</f>
        <v>-0.92560697060839914</v>
      </c>
      <c r="W31" s="8">
        <f t="shared" ref="W31:Y33" si="3">H32-H$31</f>
        <v>-0.92560697060839914</v>
      </c>
      <c r="X31" s="8">
        <f t="shared" si="3"/>
        <v>-0.33500867843344739</v>
      </c>
      <c r="Y31" s="8">
        <f t="shared" si="3"/>
        <v>0</v>
      </c>
    </row>
    <row r="32" spans="1:25">
      <c r="A32" t="s">
        <v>121</v>
      </c>
      <c r="B32" s="3" t="s">
        <v>105</v>
      </c>
      <c r="C32" s="7">
        <f t="shared" ref="C32:J34" si="4">(C26-$J26)*t_R_K</f>
        <v>88.266274629629606</v>
      </c>
      <c r="D32" s="7">
        <f t="shared" si="4"/>
        <v>86.554326111111095</v>
      </c>
      <c r="E32" s="7">
        <f t="shared" si="4"/>
        <v>81.418480555555561</v>
      </c>
      <c r="F32" s="7">
        <f t="shared" si="4"/>
        <v>70.94365611111111</v>
      </c>
      <c r="G32" s="7">
        <f t="shared" si="4"/>
        <v>54.486382777777749</v>
      </c>
      <c r="H32" s="7">
        <f t="shared" si="4"/>
        <v>32.260156111111087</v>
      </c>
      <c r="I32" s="7">
        <f t="shared" si="4"/>
        <v>5.4790500000000169</v>
      </c>
      <c r="J32" s="7">
        <f t="shared" si="4"/>
        <v>0</v>
      </c>
      <c r="K32" s="7">
        <f>(K25-$H26)*t_R_K</f>
        <v>-36.562978019058889</v>
      </c>
      <c r="L32" s="3" t="s">
        <v>106</v>
      </c>
      <c r="M32" s="8">
        <f t="shared" si="1"/>
        <v>-3.9351742546018613</v>
      </c>
      <c r="N32" s="8">
        <f t="shared" si="1"/>
        <v>-4.1896519299952075</v>
      </c>
      <c r="O32" s="8">
        <f t="shared" si="1"/>
        <v>-3.4914050389760831</v>
      </c>
      <c r="P32" s="8">
        <f t="shared" si="1"/>
        <v>-2.297281812493452</v>
      </c>
      <c r="Q32" s="8">
        <f t="shared" si="1"/>
        <v>-1.2494666949913622</v>
      </c>
      <c r="R32" s="8">
        <f t="shared" si="2"/>
        <v>-3.9351742546018613</v>
      </c>
      <c r="S32" s="8">
        <f t="shared" si="2"/>
        <v>-4.1896519299952075</v>
      </c>
      <c r="T32" s="8">
        <f t="shared" si="2"/>
        <v>-3.4914050389760831</v>
      </c>
      <c r="U32" s="8">
        <f t="shared" si="2"/>
        <v>-2.297281812493452</v>
      </c>
      <c r="V32" s="8">
        <f>H33-H$31</f>
        <v>-0.86140419283064773</v>
      </c>
      <c r="W32" s="8">
        <f t="shared" si="3"/>
        <v>-0.86140419283064773</v>
      </c>
      <c r="X32" s="8">
        <f t="shared" si="3"/>
        <v>-0.32388423398904642</v>
      </c>
      <c r="Y32" s="8">
        <f t="shared" si="3"/>
        <v>0</v>
      </c>
    </row>
    <row r="33" spans="1:30">
      <c r="A33" t="s">
        <v>121</v>
      </c>
      <c r="B33" s="3" t="s">
        <v>106</v>
      </c>
      <c r="C33" s="7">
        <f t="shared" si="4"/>
        <v>88.448237037036961</v>
      </c>
      <c r="D33" s="7">
        <f t="shared" si="4"/>
        <v>86.732079444444395</v>
      </c>
      <c r="E33" s="7">
        <f t="shared" si="4"/>
        <v>81.583606666666626</v>
      </c>
      <c r="F33" s="7">
        <f t="shared" si="4"/>
        <v>71.084290555555498</v>
      </c>
      <c r="G33" s="7">
        <f t="shared" si="4"/>
        <v>54.591946666666651</v>
      </c>
      <c r="H33" s="7">
        <f t="shared" si="4"/>
        <v>32.324358888888838</v>
      </c>
      <c r="I33" s="7">
        <f t="shared" si="4"/>
        <v>5.4901744444444178</v>
      </c>
      <c r="J33" s="7">
        <f t="shared" si="4"/>
        <v>0</v>
      </c>
      <c r="K33" s="7">
        <f>(K26-$H27)*t_R_K</f>
        <v>-32.335108888888854</v>
      </c>
      <c r="L33" s="3" t="s">
        <v>107</v>
      </c>
      <c r="M33" s="8">
        <f t="shared" si="1"/>
        <v>-4.1476777731202645</v>
      </c>
      <c r="N33" s="8">
        <f t="shared" si="1"/>
        <v>-4.3972397077729113</v>
      </c>
      <c r="O33" s="8">
        <f t="shared" si="1"/>
        <v>-3.6842455945316033</v>
      </c>
      <c r="P33" s="8">
        <f t="shared" si="1"/>
        <v>-2.4615201458267535</v>
      </c>
      <c r="Q33" s="8">
        <f t="shared" si="1"/>
        <v>-1.3727483616580258</v>
      </c>
      <c r="R33" s="8">
        <f t="shared" si="2"/>
        <v>-4.1476777731202645</v>
      </c>
      <c r="S33" s="8">
        <f t="shared" si="2"/>
        <v>-4.3972397077729113</v>
      </c>
      <c r="T33" s="8">
        <f t="shared" si="2"/>
        <v>-3.6842455945316033</v>
      </c>
      <c r="U33" s="8">
        <f t="shared" si="2"/>
        <v>-2.4615201458267535</v>
      </c>
      <c r="V33" s="8">
        <f>H34-H$31</f>
        <v>-0.93638252616390361</v>
      </c>
      <c r="W33" s="8">
        <f t="shared" si="3"/>
        <v>-0.93638252616390361</v>
      </c>
      <c r="X33" s="8">
        <f t="shared" si="3"/>
        <v>-0.33687590065569228</v>
      </c>
      <c r="Y33" s="8">
        <f t="shared" si="3"/>
        <v>0</v>
      </c>
    </row>
    <row r="34" spans="1:30">
      <c r="A34" t="s">
        <v>121</v>
      </c>
      <c r="B34" s="3" t="s">
        <v>107</v>
      </c>
      <c r="C34" s="7">
        <f t="shared" si="4"/>
        <v>88.235733518518558</v>
      </c>
      <c r="D34" s="7">
        <f t="shared" si="4"/>
        <v>86.524491666666691</v>
      </c>
      <c r="E34" s="7">
        <f t="shared" si="4"/>
        <v>81.390766111111105</v>
      </c>
      <c r="F34" s="7">
        <f t="shared" si="4"/>
        <v>70.920052222222196</v>
      </c>
      <c r="G34" s="7">
        <f t="shared" si="4"/>
        <v>54.468664999999987</v>
      </c>
      <c r="H34" s="7">
        <f t="shared" si="4"/>
        <v>32.249380555555582</v>
      </c>
      <c r="I34" s="7">
        <f t="shared" si="4"/>
        <v>5.477182777777772</v>
      </c>
      <c r="J34" s="7">
        <f t="shared" si="4"/>
        <v>0</v>
      </c>
      <c r="K34" s="7">
        <f>(K27-$H28)*t_R_K</f>
        <v>-32.236831111111115</v>
      </c>
    </row>
    <row r="35" spans="1:30">
      <c r="B35" s="3"/>
      <c r="C35" s="7"/>
      <c r="D35" s="7"/>
      <c r="E35" s="7"/>
      <c r="F35" s="7"/>
      <c r="G35" s="7"/>
      <c r="H35" s="7"/>
      <c r="I35" s="7"/>
      <c r="J35" s="7"/>
      <c r="K35" s="7"/>
    </row>
    <row r="36" spans="1:30">
      <c r="C36" s="6" t="s">
        <v>122</v>
      </c>
    </row>
    <row r="37" spans="1:30">
      <c r="B37" s="3" t="s">
        <v>119</v>
      </c>
      <c r="C37" s="9">
        <f t="shared" ref="C37:J37" si="5">(C25)*t_ft_m*100</f>
        <v>0</v>
      </c>
      <c r="D37" s="9">
        <f t="shared" si="5"/>
        <v>6.436264173483211E-2</v>
      </c>
      <c r="E37" s="9">
        <f t="shared" si="5"/>
        <v>0.14391924213054974</v>
      </c>
      <c r="F37" s="9">
        <f t="shared" si="5"/>
        <v>0.23206280499925594</v>
      </c>
      <c r="G37" s="9">
        <f t="shared" si="5"/>
        <v>0.32181320867416213</v>
      </c>
      <c r="H37" s="9">
        <f t="shared" si="5"/>
        <v>0.40960134383202246</v>
      </c>
      <c r="I37" s="9">
        <f t="shared" si="5"/>
        <v>0.41800137139107751</v>
      </c>
      <c r="J37" s="9">
        <f t="shared" si="5"/>
        <v>0.47500155839894903</v>
      </c>
      <c r="K37" s="9"/>
    </row>
    <row r="38" spans="1:30">
      <c r="A38" t="s">
        <v>121</v>
      </c>
      <c r="B38" s="3" t="s">
        <v>112</v>
      </c>
      <c r="C38" s="7">
        <f t="shared" ref="C38:J41" si="6">C31+$K38-$K31</f>
        <v>387.28169175344902</v>
      </c>
      <c r="D38" s="7">
        <f t="shared" si="6"/>
        <v>385.82001183624982</v>
      </c>
      <c r="E38" s="7">
        <f t="shared" si="6"/>
        <v>379.97329216745294</v>
      </c>
      <c r="F38" s="7">
        <f t="shared" si="6"/>
        <v>368.27985282985918</v>
      </c>
      <c r="G38" s="7">
        <f t="shared" si="6"/>
        <v>350.7396938234682</v>
      </c>
      <c r="H38" s="7">
        <f t="shared" si="6"/>
        <v>328.08404354352967</v>
      </c>
      <c r="I38" s="7">
        <f t="shared" si="6"/>
        <v>300.71233914024367</v>
      </c>
      <c r="J38" s="7">
        <f t="shared" si="6"/>
        <v>294.8982804618102</v>
      </c>
      <c r="K38" s="7">
        <f>5/9*(K24-32)</f>
        <v>290.93455198094114</v>
      </c>
      <c r="L38" s="7"/>
      <c r="M38" s="5" t="s">
        <v>123</v>
      </c>
      <c r="N38" s="9"/>
      <c r="O38" s="3"/>
      <c r="P38" s="3"/>
      <c r="Q38" s="3"/>
      <c r="R38" s="3"/>
      <c r="S38" s="3"/>
      <c r="T38" s="3"/>
      <c r="U38" s="3"/>
    </row>
    <row r="39" spans="1:30">
      <c r="A39" t="s">
        <v>121</v>
      </c>
      <c r="B39" s="3" t="s">
        <v>105</v>
      </c>
      <c r="C39" s="7">
        <f t="shared" si="6"/>
        <v>415.76380462962965</v>
      </c>
      <c r="D39" s="7">
        <f t="shared" si="6"/>
        <v>414.05185611111114</v>
      </c>
      <c r="E39" s="7">
        <f t="shared" si="6"/>
        <v>408.9160105555556</v>
      </c>
      <c r="F39" s="7">
        <f t="shared" si="6"/>
        <v>398.44118611111116</v>
      </c>
      <c r="G39" s="7">
        <f t="shared" si="6"/>
        <v>381.98391277777779</v>
      </c>
      <c r="H39" s="7">
        <f t="shared" si="6"/>
        <v>359.75768611111113</v>
      </c>
      <c r="I39" s="7">
        <f t="shared" si="6"/>
        <v>332.97658000000007</v>
      </c>
      <c r="J39" s="7">
        <f t="shared" si="6"/>
        <v>327.49753000000004</v>
      </c>
      <c r="K39" s="7">
        <f>5/9*(K25-32)</f>
        <v>290.93455198094114</v>
      </c>
      <c r="L39" s="3" t="s">
        <v>105</v>
      </c>
      <c r="M39" s="16">
        <f t="shared" ref="M39:Q41" si="7">(C39-C$38)/C$38</f>
        <v>7.3543659518800292E-2</v>
      </c>
      <c r="N39" s="16">
        <f t="shared" si="7"/>
        <v>7.3173613106526758E-2</v>
      </c>
      <c r="O39" s="16">
        <f t="shared" si="7"/>
        <v>7.6170401932743478E-2</v>
      </c>
      <c r="P39" s="16">
        <f t="shared" si="7"/>
        <v>8.1897863946378172E-2</v>
      </c>
      <c r="Q39" s="16">
        <f t="shared" si="7"/>
        <v>8.9080932396648563E-2</v>
      </c>
      <c r="R39" s="16">
        <f t="shared" ref="R39:U41" si="8">(C39-C$38)/C$38</f>
        <v>7.3543659518800292E-2</v>
      </c>
      <c r="S39" s="16">
        <f t="shared" si="8"/>
        <v>7.3173613106526758E-2</v>
      </c>
      <c r="T39" s="16">
        <f t="shared" si="8"/>
        <v>7.6170401932743478E-2</v>
      </c>
      <c r="U39" s="16">
        <f t="shared" si="8"/>
        <v>8.1897863946378172E-2</v>
      </c>
      <c r="V39" s="16">
        <f>(H39-H$38)/H$38</f>
        <v>9.6541246643648618E-2</v>
      </c>
      <c r="W39" s="16">
        <f t="shared" ref="W39:Y41" si="9">(H39-H$38)/H$38</f>
        <v>9.6541246643648618E-2</v>
      </c>
      <c r="X39" s="16">
        <f t="shared" si="9"/>
        <v>0.10729270688393427</v>
      </c>
      <c r="Y39" s="16">
        <f t="shared" si="9"/>
        <v>0.11054404755137762</v>
      </c>
    </row>
    <row r="40" spans="1:30">
      <c r="A40" t="s">
        <v>121</v>
      </c>
      <c r="B40" s="3" t="s">
        <v>106</v>
      </c>
      <c r="C40" s="7">
        <f t="shared" si="6"/>
        <v>416.0207198148147</v>
      </c>
      <c r="D40" s="7">
        <f t="shared" si="6"/>
        <v>414.3045622222221</v>
      </c>
      <c r="E40" s="7">
        <f t="shared" si="6"/>
        <v>409.15608944444438</v>
      </c>
      <c r="F40" s="7">
        <f t="shared" si="6"/>
        <v>398.65677333333326</v>
      </c>
      <c r="G40" s="7">
        <f t="shared" si="6"/>
        <v>382.16442944444441</v>
      </c>
      <c r="H40" s="7">
        <f t="shared" si="6"/>
        <v>359.89684166666655</v>
      </c>
      <c r="I40" s="7">
        <f t="shared" si="6"/>
        <v>333.06265722222213</v>
      </c>
      <c r="J40" s="7">
        <f t="shared" si="6"/>
        <v>327.57248277777774</v>
      </c>
      <c r="K40" s="7">
        <f>5/9*(K26-32)</f>
        <v>295.2373738888889</v>
      </c>
      <c r="L40" s="3" t="s">
        <v>106</v>
      </c>
      <c r="M40" s="16">
        <f t="shared" si="7"/>
        <v>7.4207040181133818E-2</v>
      </c>
      <c r="N40" s="16">
        <f t="shared" si="7"/>
        <v>7.3828597563938003E-2</v>
      </c>
      <c r="O40" s="16">
        <f t="shared" si="7"/>
        <v>7.6802232889912364E-2</v>
      </c>
      <c r="P40" s="16">
        <f t="shared" si="7"/>
        <v>8.2483253618296226E-2</v>
      </c>
      <c r="Q40" s="16">
        <f t="shared" si="7"/>
        <v>8.9595606583361742E-2</v>
      </c>
      <c r="R40" s="16">
        <f t="shared" si="8"/>
        <v>7.4207040181133818E-2</v>
      </c>
      <c r="S40" s="16">
        <f t="shared" si="8"/>
        <v>7.3828597563938003E-2</v>
      </c>
      <c r="T40" s="16">
        <f t="shared" si="8"/>
        <v>7.6802232889912364E-2</v>
      </c>
      <c r="U40" s="16">
        <f t="shared" si="8"/>
        <v>8.2483253618296226E-2</v>
      </c>
      <c r="V40" s="16">
        <f>(H40-H$38)/H$38</f>
        <v>9.6965392707115919E-2</v>
      </c>
      <c r="W40" s="16">
        <f t="shared" si="9"/>
        <v>9.6965392707115919E-2</v>
      </c>
      <c r="X40" s="16">
        <f t="shared" si="9"/>
        <v>0.10757895128104866</v>
      </c>
      <c r="Y40" s="16">
        <f t="shared" si="9"/>
        <v>0.11079821240327271</v>
      </c>
    </row>
    <row r="41" spans="1:30">
      <c r="A41" t="s">
        <v>121</v>
      </c>
      <c r="B41" s="3" t="s">
        <v>107</v>
      </c>
      <c r="C41" s="7">
        <f t="shared" si="6"/>
        <v>415.72068851851861</v>
      </c>
      <c r="D41" s="7">
        <f t="shared" si="6"/>
        <v>414.00944666666669</v>
      </c>
      <c r="E41" s="7">
        <f t="shared" si="6"/>
        <v>408.87572111111115</v>
      </c>
      <c r="F41" s="7">
        <f t="shared" si="6"/>
        <v>398.40500722222225</v>
      </c>
      <c r="G41" s="7">
        <f t="shared" si="6"/>
        <v>381.95362</v>
      </c>
      <c r="H41" s="7">
        <f t="shared" si="6"/>
        <v>359.73433555555562</v>
      </c>
      <c r="I41" s="7">
        <f t="shared" si="6"/>
        <v>332.9621377777778</v>
      </c>
      <c r="J41" s="7">
        <f t="shared" si="6"/>
        <v>327.48495500000001</v>
      </c>
      <c r="K41" s="7">
        <f>5/9*(K27-32)</f>
        <v>295.24812388888893</v>
      </c>
      <c r="L41" s="3" t="s">
        <v>107</v>
      </c>
      <c r="M41" s="16">
        <f t="shared" si="7"/>
        <v>7.3432329414565775E-2</v>
      </c>
      <c r="N41" s="16">
        <f t="shared" si="7"/>
        <v>7.306369282467666E-2</v>
      </c>
      <c r="O41" s="16">
        <f t="shared" si="7"/>
        <v>7.606436962659209E-2</v>
      </c>
      <c r="P41" s="16">
        <f t="shared" si="7"/>
        <v>8.1799626454940849E-2</v>
      </c>
      <c r="Q41" s="16">
        <f t="shared" si="7"/>
        <v>8.8994564134626211E-2</v>
      </c>
      <c r="R41" s="16">
        <f t="shared" si="8"/>
        <v>7.3432329414565775E-2</v>
      </c>
      <c r="S41" s="16">
        <f t="shared" si="8"/>
        <v>7.306369282467666E-2</v>
      </c>
      <c r="T41" s="16">
        <f t="shared" si="8"/>
        <v>7.606436962659209E-2</v>
      </c>
      <c r="U41" s="16">
        <f t="shared" si="8"/>
        <v>8.1799626454940849E-2</v>
      </c>
      <c r="V41" s="16">
        <f>(H41-H$38)/H$38</f>
        <v>9.647007416203901E-2</v>
      </c>
      <c r="W41" s="16">
        <f t="shared" si="9"/>
        <v>9.647007416203901E-2</v>
      </c>
      <c r="X41" s="16">
        <f t="shared" si="9"/>
        <v>0.10724468018086128</v>
      </c>
      <c r="Y41" s="16">
        <f t="shared" si="9"/>
        <v>0.11050140572932177</v>
      </c>
    </row>
    <row r="42" spans="1:30">
      <c r="Q42" s="3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</row>
    <row r="45" spans="1:30">
      <c r="C45" s="3"/>
      <c r="D45" s="3" t="s">
        <v>124</v>
      </c>
    </row>
    <row r="46" spans="1:30">
      <c r="B46" s="7"/>
      <c r="C46" s="7"/>
      <c r="D46" s="7">
        <v>671.19229099999995</v>
      </c>
      <c r="E46" s="7">
        <v>661.93386899999996</v>
      </c>
      <c r="F46" s="7">
        <v>643.05172400000004</v>
      </c>
      <c r="G46" s="7">
        <v>613.38797799999998</v>
      </c>
      <c r="H46" s="7">
        <v>573.33054200000004</v>
      </c>
      <c r="I46" s="7">
        <v>573.31713300000001</v>
      </c>
      <c r="J46" s="7">
        <v>563.44080399999996</v>
      </c>
      <c r="K46" s="7"/>
      <c r="L46" s="7"/>
      <c r="M46" s="7"/>
      <c r="N46" s="7"/>
      <c r="O46" s="7"/>
      <c r="P46" s="7"/>
    </row>
    <row r="47" spans="1:30">
      <c r="A47" s="7"/>
      <c r="D47" s="11">
        <v>2.11162829960637E-3</v>
      </c>
      <c r="E47" s="11">
        <v>4.7217444211321404E-3</v>
      </c>
      <c r="F47" s="11">
        <v>7.6135841089516104E-3</v>
      </c>
      <c r="G47" s="11">
        <v>1.05581414980319E-2</v>
      </c>
      <c r="H47" s="11">
        <v>1.3438320209973801E-2</v>
      </c>
      <c r="I47" s="11">
        <v>1.3713910761154901E-2</v>
      </c>
      <c r="J47" s="11">
        <v>1.55839895013123E-2</v>
      </c>
    </row>
  </sheetData>
  <mergeCells count="1">
    <mergeCell ref="B1:E2"/>
  </mergeCells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6"/>
  <sheetViews>
    <sheetView zoomScale="90" zoomScaleNormal="90" zoomScalePageLayoutView="90" workbookViewId="0">
      <selection activeCell="C26" sqref="C26"/>
    </sheetView>
  </sheetViews>
  <sheetFormatPr baseColWidth="10" defaultColWidth="8.83203125" defaultRowHeight="12" x14ac:dyDescent="0"/>
  <sheetData>
    <row r="1" spans="2:5">
      <c r="B1" s="2" t="s">
        <v>97</v>
      </c>
      <c r="C1" s="2"/>
      <c r="D1" s="2"/>
      <c r="E1" s="2"/>
    </row>
    <row r="2" spans="2:5">
      <c r="B2" s="2"/>
      <c r="C2" s="2"/>
      <c r="D2" s="2"/>
      <c r="E2" s="2"/>
    </row>
    <row r="4" spans="2:5">
      <c r="B4" t="s">
        <v>98</v>
      </c>
    </row>
    <row r="6" spans="2:5">
      <c r="B6" s="6" t="s">
        <v>99</v>
      </c>
    </row>
    <row r="7" spans="2:5">
      <c r="C7" t="s">
        <v>100</v>
      </c>
      <c r="D7" t="s">
        <v>101</v>
      </c>
      <c r="E7" t="s">
        <v>101</v>
      </c>
    </row>
    <row r="8" spans="2:5">
      <c r="C8" t="s">
        <v>102</v>
      </c>
      <c r="D8" t="s">
        <v>103</v>
      </c>
      <c r="E8" t="s">
        <v>82</v>
      </c>
    </row>
    <row r="9" spans="2:5">
      <c r="B9" s="3" t="s">
        <v>104</v>
      </c>
      <c r="C9" s="9">
        <v>0.66138600000000003</v>
      </c>
      <c r="D9" s="3">
        <v>554.23225806451603</v>
      </c>
      <c r="E9" s="3">
        <f>2.326*D9</f>
        <v>1289.1442322580642</v>
      </c>
    </row>
    <row r="10" spans="2:5">
      <c r="B10" s="3" t="s">
        <v>105</v>
      </c>
      <c r="C10" s="9">
        <v>0.66139538674123899</v>
      </c>
      <c r="D10" s="3">
        <v>575.51767919587201</v>
      </c>
      <c r="E10" s="3">
        <f>2.326*D10</f>
        <v>1338.6541218095983</v>
      </c>
    </row>
    <row r="11" spans="2:5">
      <c r="B11" s="3" t="s">
        <v>106</v>
      </c>
      <c r="C11" s="3">
        <f>C10</f>
        <v>0.66139538674123899</v>
      </c>
      <c r="D11" s="3">
        <v>575.54545097384698</v>
      </c>
      <c r="E11" s="3">
        <f>2.326*D11</f>
        <v>1338.7187189651681</v>
      </c>
    </row>
    <row r="12" spans="2:5">
      <c r="B12" s="3" t="s">
        <v>107</v>
      </c>
      <c r="C12" s="3">
        <f>C11</f>
        <v>0.66139538674123899</v>
      </c>
      <c r="D12" s="3">
        <v>575.51049558913098</v>
      </c>
      <c r="E12" s="3">
        <f>2.326*D12</f>
        <v>1338.6374127403187</v>
      </c>
    </row>
    <row r="16" spans="2:5">
      <c r="B16" s="6" t="s">
        <v>108</v>
      </c>
    </row>
    <row r="17" spans="1:30">
      <c r="B17" s="3"/>
      <c r="C17" s="3" t="s">
        <v>109</v>
      </c>
      <c r="D17" s="3" t="s">
        <v>110</v>
      </c>
      <c r="E17" s="3" t="s">
        <v>111</v>
      </c>
    </row>
    <row r="18" spans="1:30">
      <c r="B18" s="3"/>
      <c r="C18" s="3" t="s">
        <v>82</v>
      </c>
      <c r="D18" s="3" t="s">
        <v>62</v>
      </c>
      <c r="E18" s="3" t="s">
        <v>60</v>
      </c>
    </row>
    <row r="19" spans="1:30">
      <c r="B19" s="3" t="s">
        <v>112</v>
      </c>
      <c r="C19" s="3">
        <f>q_lin*L_chan/(M_dot)</f>
        <v>48.773333333333333</v>
      </c>
      <c r="D19" s="13">
        <f>M_dot*C19</f>
        <v>14.632</v>
      </c>
      <c r="E19" s="7">
        <f>q_lin</f>
        <v>4</v>
      </c>
      <c r="F19" t="s">
        <v>113</v>
      </c>
    </row>
    <row r="20" spans="1:30">
      <c r="B20" s="3" t="s">
        <v>105</v>
      </c>
      <c r="C20" s="7">
        <f>E10-$E$9</f>
        <v>49.509889551534116</v>
      </c>
      <c r="D20" s="13">
        <f>M_dot*C20</f>
        <v>14.852966865460234</v>
      </c>
      <c r="E20" s="7">
        <f>D20/L_chan</f>
        <v>4.060406469507992</v>
      </c>
      <c r="F20" s="14">
        <f>(E20-$E$19)/$E$19</f>
        <v>1.5101617376998E-2</v>
      </c>
    </row>
    <row r="21" spans="1:30">
      <c r="B21" s="3" t="s">
        <v>106</v>
      </c>
      <c r="C21" s="7">
        <f>E11-$E$9</f>
        <v>49.574486707103915</v>
      </c>
      <c r="D21" s="13">
        <f>M_dot*C21</f>
        <v>14.872346012131175</v>
      </c>
      <c r="E21" s="7">
        <f>D21/L_chan</f>
        <v>4.0657042132671339</v>
      </c>
      <c r="F21" s="14">
        <f>(E21-$E$19)/$E$19</f>
        <v>1.6426053316783484E-2</v>
      </c>
    </row>
    <row r="22" spans="1:30">
      <c r="B22" s="3" t="s">
        <v>107</v>
      </c>
      <c r="C22" s="7">
        <f>E12-$E$9</f>
        <v>49.493180482254502</v>
      </c>
      <c r="D22" s="13">
        <f>M_dot*C22</f>
        <v>14.847954144676351</v>
      </c>
      <c r="E22" s="7">
        <f>D22/L_chan</f>
        <v>4.0590361248431792</v>
      </c>
      <c r="F22" s="14">
        <f>(E22-$E$19)/$E$19</f>
        <v>1.4759031210794804E-2</v>
      </c>
    </row>
    <row r="23" spans="1:30">
      <c r="C23" s="6" t="s">
        <v>99</v>
      </c>
      <c r="P23" s="3" t="s">
        <v>114</v>
      </c>
    </row>
    <row r="24" spans="1:30">
      <c r="B24" t="s">
        <v>115</v>
      </c>
      <c r="D24" s="11">
        <f>D25</f>
        <v>1.0002449840240701E-3</v>
      </c>
      <c r="E24" s="11">
        <f>E25</f>
        <v>2.2366157784310101E-3</v>
      </c>
      <c r="F24">
        <f t="shared" ref="F24:O24" si="0">F25-E25</f>
        <v>1.3698187994934299E-3</v>
      </c>
      <c r="G24">
        <f t="shared" si="0"/>
        <v>1.39479034219591E-3</v>
      </c>
      <c r="H24">
        <f t="shared" si="0"/>
        <v>1.4034679804548096E-3</v>
      </c>
      <c r="I24">
        <f t="shared" si="0"/>
        <v>1.4074701617260901E-3</v>
      </c>
      <c r="J24">
        <f t="shared" si="0"/>
        <v>1.4096400360928806E-3</v>
      </c>
      <c r="K24">
        <f t="shared" si="0"/>
        <v>1.4109469302381692E-3</v>
      </c>
      <c r="L24">
        <f t="shared" si="0"/>
        <v>1.4117945484561009E-3</v>
      </c>
      <c r="M24">
        <f t="shared" si="0"/>
        <v>1.3937756328854002E-3</v>
      </c>
      <c r="N24">
        <f t="shared" si="0"/>
        <v>2.7559055118109993E-4</v>
      </c>
      <c r="O24">
        <f t="shared" si="0"/>
        <v>1.8700787401573996E-3</v>
      </c>
      <c r="P24" s="15">
        <f>(t_in+q_lin*dz*2/(M_dot*cp_in))*9/5+32</f>
        <v>555.68219356569398</v>
      </c>
    </row>
    <row r="25" spans="1:30">
      <c r="B25" t="s">
        <v>116</v>
      </c>
      <c r="C25" s="11">
        <v>0</v>
      </c>
      <c r="D25" s="11">
        <v>1.0002449840240701E-3</v>
      </c>
      <c r="E25" s="11">
        <v>2.2366157784310101E-3</v>
      </c>
      <c r="F25" s="11">
        <v>3.60643457792444E-3</v>
      </c>
      <c r="G25" s="11">
        <v>5.00122492012035E-3</v>
      </c>
      <c r="H25" s="11">
        <v>6.4046929005751596E-3</v>
      </c>
      <c r="I25" s="11">
        <v>7.8121630623012497E-3</v>
      </c>
      <c r="J25" s="11">
        <v>9.2218030983941303E-3</v>
      </c>
      <c r="K25" s="11">
        <v>1.0632750028632299E-2</v>
      </c>
      <c r="L25" s="11">
        <v>1.20445445770884E-2</v>
      </c>
      <c r="M25" s="11">
        <v>1.3438320209973801E-2</v>
      </c>
      <c r="N25" s="11">
        <v>1.3713910761154901E-2</v>
      </c>
      <c r="O25" s="11">
        <v>1.55839895013123E-2</v>
      </c>
      <c r="P25" s="11">
        <f>P24</f>
        <v>555.68219356569398</v>
      </c>
    </row>
    <row r="26" spans="1:30">
      <c r="A26" t="s">
        <v>117</v>
      </c>
      <c r="B26" s="3" t="s">
        <v>105</v>
      </c>
      <c r="C26" s="7">
        <f>1/3*(4*D26-E26)</f>
        <v>726.43513966666671</v>
      </c>
      <c r="D26" s="7">
        <v>725.74359000000004</v>
      </c>
      <c r="E26" s="7">
        <v>723.66894100000002</v>
      </c>
      <c r="F26" s="7">
        <v>719.43798500000003</v>
      </c>
      <c r="G26" s="7">
        <v>712.79169000000002</v>
      </c>
      <c r="H26" s="7">
        <v>703.73159699999997</v>
      </c>
      <c r="I26" s="7">
        <v>692.26984300000004</v>
      </c>
      <c r="J26" s="7">
        <v>678.41571899999997</v>
      </c>
      <c r="K26" s="7">
        <v>662.17563299999995</v>
      </c>
      <c r="L26" s="7">
        <v>643.55396199999996</v>
      </c>
      <c r="M26" s="7">
        <v>622.59766200000001</v>
      </c>
      <c r="N26" s="7">
        <v>573.60459200000003</v>
      </c>
      <c r="O26" s="7">
        <v>563.58119599999998</v>
      </c>
      <c r="P26" s="11">
        <f>P25</f>
        <v>555.68219356569398</v>
      </c>
    </row>
    <row r="27" spans="1:30">
      <c r="A27" t="s">
        <v>117</v>
      </c>
      <c r="B27" s="3" t="s">
        <v>106</v>
      </c>
      <c r="C27" s="7">
        <f>1/3*(4*D27-E27)</f>
        <v>726.74178866666671</v>
      </c>
      <c r="D27" s="3">
        <v>726.04867000000002</v>
      </c>
      <c r="E27" s="3">
        <v>723.96931400000005</v>
      </c>
      <c r="F27" s="3">
        <v>719.72887000000003</v>
      </c>
      <c r="G27" s="3">
        <v>713.06797300000005</v>
      </c>
      <c r="H27" s="3">
        <v>703.98855400000002</v>
      </c>
      <c r="I27" s="3">
        <v>692.503289</v>
      </c>
      <c r="J27" s="3">
        <v>678.62210300000004</v>
      </c>
      <c r="K27" s="3">
        <v>662.352124</v>
      </c>
      <c r="L27" s="3">
        <v>643.69850699999995</v>
      </c>
      <c r="M27" s="3">
        <v>622.70907299999999</v>
      </c>
      <c r="N27" s="3">
        <v>573.63712599999997</v>
      </c>
      <c r="O27" s="3">
        <v>563.59718899999996</v>
      </c>
      <c r="P27" s="11">
        <f>P26</f>
        <v>555.68219356569398</v>
      </c>
    </row>
    <row r="28" spans="1:30">
      <c r="A28" t="s">
        <v>117</v>
      </c>
      <c r="B28" s="3" t="s">
        <v>107</v>
      </c>
      <c r="C28" s="7">
        <f>1/3*(4*D28-E28)</f>
        <v>726.38074866666659</v>
      </c>
      <c r="D28" s="3">
        <v>725.68947700000001</v>
      </c>
      <c r="E28" s="3">
        <v>723.61566200000004</v>
      </c>
      <c r="F28" s="3">
        <v>719.38639000000001</v>
      </c>
      <c r="G28" s="3">
        <v>712.74268600000005</v>
      </c>
      <c r="H28" s="3">
        <v>703.68602099999998</v>
      </c>
      <c r="I28" s="3">
        <v>692.22843799999998</v>
      </c>
      <c r="J28" s="3">
        <v>678.37911499999996</v>
      </c>
      <c r="K28" s="3">
        <v>662.14433199999996</v>
      </c>
      <c r="L28" s="3">
        <v>643.52832799999999</v>
      </c>
      <c r="M28" s="3">
        <v>622.57790599999998</v>
      </c>
      <c r="N28" s="3">
        <v>573.59882800000003</v>
      </c>
      <c r="O28" s="3">
        <v>563.57836599999996</v>
      </c>
      <c r="P28" s="11"/>
      <c r="R28" s="11"/>
    </row>
    <row r="29" spans="1:30">
      <c r="C29" s="6" t="s">
        <v>118</v>
      </c>
      <c r="P29" t="e">
        <f>D24/D5*N29</f>
        <v>#DIV/0!</v>
      </c>
    </row>
    <row r="30" spans="1:30">
      <c r="B30" s="3" t="s">
        <v>119</v>
      </c>
      <c r="C30" s="7">
        <f t="shared" ref="C30:O30" si="1">(C25)*t_ft_m*100</f>
        <v>0</v>
      </c>
      <c r="D30" s="7">
        <f t="shared" si="1"/>
        <v>3.0487567137552057E-2</v>
      </c>
      <c r="E30" s="7">
        <f t="shared" si="1"/>
        <v>6.8172272588155031E-2</v>
      </c>
      <c r="F30" s="7">
        <f t="shared" si="1"/>
        <v>0.10992448657859472</v>
      </c>
      <c r="G30" s="7">
        <f t="shared" si="1"/>
        <v>0.15243783568776029</v>
      </c>
      <c r="H30" s="7">
        <f t="shared" si="1"/>
        <v>0.19521568007882092</v>
      </c>
      <c r="I30" s="7">
        <f t="shared" si="1"/>
        <v>0.23811551135524833</v>
      </c>
      <c r="J30" s="7">
        <f t="shared" si="1"/>
        <v>0.28108148061936294</v>
      </c>
      <c r="K30" s="7">
        <f t="shared" si="1"/>
        <v>0.32408728414771532</v>
      </c>
      <c r="L30" s="7">
        <f t="shared" si="1"/>
        <v>0.3671189231641121</v>
      </c>
      <c r="M30" s="7">
        <f t="shared" si="1"/>
        <v>0.40960134383202246</v>
      </c>
      <c r="N30" s="7">
        <f t="shared" si="1"/>
        <v>0.41800137139107751</v>
      </c>
      <c r="O30" s="7">
        <f t="shared" si="1"/>
        <v>0.47500155839894903</v>
      </c>
      <c r="Q30" s="7"/>
      <c r="R30" s="5" t="s">
        <v>120</v>
      </c>
      <c r="S30" s="9"/>
      <c r="T30" s="3"/>
      <c r="U30" s="3"/>
      <c r="V30" s="3"/>
      <c r="W30" s="3"/>
      <c r="X30" s="3"/>
      <c r="Y30" s="3"/>
      <c r="Z30" s="3"/>
    </row>
    <row r="31" spans="1:30">
      <c r="A31" t="s">
        <v>121</v>
      </c>
      <c r="B31" s="3" t="s">
        <v>112</v>
      </c>
      <c r="C31" s="7">
        <f t="shared" ref="C31:L31" si="2">q_dot*1000/(4*k_fuel)*((R_fuel/100)^2)*(1-(C30/R_fuel)^2)+delta_gap+delta_clad</f>
        <v>92.383411291638822</v>
      </c>
      <c r="D31" s="7">
        <f t="shared" si="2"/>
        <v>92.05544432960798</v>
      </c>
      <c r="E31" s="7">
        <f t="shared" si="2"/>
        <v>90.743576481484581</v>
      </c>
      <c r="F31" s="7">
        <f t="shared" si="2"/>
        <v>88.119840785237784</v>
      </c>
      <c r="G31" s="7">
        <f t="shared" si="2"/>
        <v>84.184237240867589</v>
      </c>
      <c r="H31" s="7">
        <f t="shared" si="2"/>
        <v>78.936765848373966</v>
      </c>
      <c r="I31" s="7">
        <f t="shared" si="2"/>
        <v>72.377426607757002</v>
      </c>
      <c r="J31" s="7">
        <f t="shared" si="2"/>
        <v>64.506219519016597</v>
      </c>
      <c r="K31" s="7">
        <f t="shared" si="2"/>
        <v>55.323144582152857</v>
      </c>
      <c r="L31" s="7">
        <f t="shared" si="2"/>
        <v>44.828201797165868</v>
      </c>
      <c r="M31" s="7">
        <f>delta_gap+delta_clad</f>
        <v>33.185763081719486</v>
      </c>
      <c r="N31" s="7">
        <f>delta_clad</f>
        <v>5.8140586784334642</v>
      </c>
      <c r="O31" s="7">
        <v>0</v>
      </c>
      <c r="P31" s="7">
        <f>-delta_fluid</f>
        <v>-3.9637284808690443</v>
      </c>
      <c r="Q31" s="3" t="s">
        <v>105</v>
      </c>
      <c r="R31" s="8">
        <f t="shared" ref="R31:AD33" si="3">C32-C$31</f>
        <v>-1.9089981434906349</v>
      </c>
      <c r="S31" s="8">
        <f t="shared" si="3"/>
        <v>-1.9652254407190526</v>
      </c>
      <c r="T31" s="8">
        <f t="shared" si="3"/>
        <v>-1.8059403703734489</v>
      </c>
      <c r="U31" s="8">
        <f t="shared" si="3"/>
        <v>-1.5327357852377475</v>
      </c>
      <c r="V31" s="8">
        <f t="shared" si="3"/>
        <v>-1.2895183519786713</v>
      </c>
      <c r="W31" s="8">
        <f t="shared" si="3"/>
        <v>-1.075431959485087</v>
      </c>
      <c r="X31" s="8">
        <f t="shared" si="3"/>
        <v>-0.88373382997919236</v>
      </c>
      <c r="Y31" s="8">
        <f t="shared" si="3"/>
        <v>-0.70926229679437824</v>
      </c>
      <c r="Z31" s="8">
        <f t="shared" si="3"/>
        <v>-0.54845735993065148</v>
      </c>
      <c r="AA31" s="8">
        <f t="shared" si="3"/>
        <v>-0.39888735272143094</v>
      </c>
      <c r="AB31" s="8">
        <f t="shared" si="3"/>
        <v>-0.39883752616390922</v>
      </c>
      <c r="AC31" s="8">
        <f t="shared" si="3"/>
        <v>-0.24550534510010369</v>
      </c>
      <c r="AD31" s="8">
        <f t="shared" si="3"/>
        <v>0</v>
      </c>
    </row>
    <row r="32" spans="1:30">
      <c r="A32" t="s">
        <v>121</v>
      </c>
      <c r="B32" s="3" t="s">
        <v>105</v>
      </c>
      <c r="C32" s="7">
        <f t="shared" ref="C32:O32" si="4">(C26-$O26)*t_R_K</f>
        <v>90.474413148148187</v>
      </c>
      <c r="D32" s="7">
        <f t="shared" si="4"/>
        <v>90.090218888888927</v>
      </c>
      <c r="E32" s="7">
        <f t="shared" si="4"/>
        <v>88.937636111111132</v>
      </c>
      <c r="F32" s="7">
        <f t="shared" si="4"/>
        <v>86.587105000000037</v>
      </c>
      <c r="G32" s="7">
        <f t="shared" si="4"/>
        <v>82.894718888888917</v>
      </c>
      <c r="H32" s="7">
        <f t="shared" si="4"/>
        <v>77.861333888888879</v>
      </c>
      <c r="I32" s="7">
        <f t="shared" si="4"/>
        <v>71.49369277777781</v>
      </c>
      <c r="J32" s="7">
        <f t="shared" si="4"/>
        <v>63.796957222222218</v>
      </c>
      <c r="K32" s="7">
        <f t="shared" si="4"/>
        <v>54.774687222222205</v>
      </c>
      <c r="L32" s="7">
        <f t="shared" si="4"/>
        <v>44.429314444444437</v>
      </c>
      <c r="M32" s="7">
        <f t="shared" si="4"/>
        <v>32.786925555555577</v>
      </c>
      <c r="N32" s="7">
        <f t="shared" si="4"/>
        <v>5.5685533333333606</v>
      </c>
      <c r="O32" s="7">
        <f t="shared" si="4"/>
        <v>0</v>
      </c>
      <c r="P32" s="7">
        <f>(P25-$M26)*t_R_K</f>
        <v>-37.17526024128113</v>
      </c>
      <c r="Q32" s="3" t="s">
        <v>106</v>
      </c>
      <c r="R32" s="8">
        <f t="shared" si="3"/>
        <v>-1.747522587935066</v>
      </c>
      <c r="S32" s="8">
        <f t="shared" si="3"/>
        <v>-1.8046215518301665</v>
      </c>
      <c r="T32" s="8">
        <f t="shared" si="3"/>
        <v>-1.647951481484526</v>
      </c>
      <c r="U32" s="8">
        <f t="shared" si="3"/>
        <v>-1.3800180074599666</v>
      </c>
      <c r="V32" s="8">
        <f t="shared" si="3"/>
        <v>-1.1449127964230854</v>
      </c>
      <c r="W32" s="8">
        <f t="shared" si="3"/>
        <v>-0.94156307059614619</v>
      </c>
      <c r="X32" s="8">
        <f t="shared" si="3"/>
        <v>-0.76292660775698096</v>
      </c>
      <c r="Y32" s="8">
        <f t="shared" si="3"/>
        <v>-0.60348951901654857</v>
      </c>
      <c r="Z32" s="8">
        <f t="shared" si="3"/>
        <v>-0.45929180437504868</v>
      </c>
      <c r="AA32" s="8">
        <f t="shared" si="3"/>
        <v>-0.32746957494364892</v>
      </c>
      <c r="AB32" s="8">
        <f t="shared" si="3"/>
        <v>-0.34582752616390877</v>
      </c>
      <c r="AC32" s="8">
        <f t="shared" si="3"/>
        <v>-0.23631590065568098</v>
      </c>
      <c r="AD32" s="8">
        <f t="shared" si="3"/>
        <v>0</v>
      </c>
    </row>
    <row r="33" spans="1:30">
      <c r="A33" t="s">
        <v>121</v>
      </c>
      <c r="B33" s="3" t="s">
        <v>106</v>
      </c>
      <c r="C33" s="7">
        <f t="shared" ref="C33:O33" si="5">(C27-$O27)*t_R_K</f>
        <v>90.635888703703756</v>
      </c>
      <c r="D33" s="7">
        <f t="shared" si="5"/>
        <v>90.250822777777813</v>
      </c>
      <c r="E33" s="7">
        <f t="shared" si="5"/>
        <v>89.095625000000055</v>
      </c>
      <c r="F33" s="7">
        <f t="shared" si="5"/>
        <v>86.739822777777817</v>
      </c>
      <c r="G33" s="7">
        <f t="shared" si="5"/>
        <v>83.039324444444503</v>
      </c>
      <c r="H33" s="7">
        <f t="shared" si="5"/>
        <v>77.99520277777782</v>
      </c>
      <c r="I33" s="7">
        <f t="shared" si="5"/>
        <v>71.614500000000021</v>
      </c>
      <c r="J33" s="7">
        <f t="shared" si="5"/>
        <v>63.902730000000048</v>
      </c>
      <c r="K33" s="7">
        <f t="shared" si="5"/>
        <v>54.863852777777808</v>
      </c>
      <c r="L33" s="7">
        <f t="shared" si="5"/>
        <v>44.500732222222219</v>
      </c>
      <c r="M33" s="7">
        <f t="shared" si="5"/>
        <v>32.839935555555577</v>
      </c>
      <c r="N33" s="7">
        <f t="shared" si="5"/>
        <v>5.5777427777777833</v>
      </c>
      <c r="O33" s="7">
        <f t="shared" si="5"/>
        <v>0</v>
      </c>
      <c r="P33" s="7">
        <f>(P26-$M27)*t_R_K</f>
        <v>-37.237155241281116</v>
      </c>
      <c r="Q33" s="3" t="s">
        <v>107</v>
      </c>
      <c r="R33" s="8">
        <f t="shared" si="3"/>
        <v>-1.9376431434906891</v>
      </c>
      <c r="S33" s="8">
        <f t="shared" si="3"/>
        <v>-1.9937159962746165</v>
      </c>
      <c r="T33" s="8">
        <f t="shared" si="3"/>
        <v>-1.8339675925956413</v>
      </c>
      <c r="U33" s="8">
        <f t="shared" si="3"/>
        <v>-1.5598274519044253</v>
      </c>
      <c r="V33" s="8">
        <f t="shared" si="3"/>
        <v>-1.315170574200863</v>
      </c>
      <c r="W33" s="8">
        <f t="shared" si="3"/>
        <v>-1.099179737262844</v>
      </c>
      <c r="X33" s="8">
        <f t="shared" si="3"/>
        <v>-0.90516438553476064</v>
      </c>
      <c r="Y33" s="8">
        <f t="shared" si="3"/>
        <v>-0.72802563012770349</v>
      </c>
      <c r="Z33" s="8">
        <f t="shared" si="3"/>
        <v>-0.56427458215285498</v>
      </c>
      <c r="AA33" s="8">
        <f t="shared" si="3"/>
        <v>-0.41155624161029181</v>
      </c>
      <c r="AB33" s="8">
        <f t="shared" si="3"/>
        <v>-0.40824085949724775</v>
      </c>
      <c r="AC33" s="8">
        <f t="shared" si="3"/>
        <v>-0.24713534510009438</v>
      </c>
      <c r="AD33" s="8">
        <f t="shared" si="3"/>
        <v>0</v>
      </c>
    </row>
    <row r="34" spans="1:30">
      <c r="A34" t="s">
        <v>121</v>
      </c>
      <c r="B34" s="3" t="s">
        <v>107</v>
      </c>
      <c r="C34" s="7">
        <f t="shared" ref="C34:O34" si="6">(C28-$O28)*t_R_K</f>
        <v>90.445768148148133</v>
      </c>
      <c r="D34" s="7">
        <f t="shared" si="6"/>
        <v>90.061728333333363</v>
      </c>
      <c r="E34" s="7">
        <f t="shared" si="6"/>
        <v>88.90960888888894</v>
      </c>
      <c r="F34" s="7">
        <f t="shared" si="6"/>
        <v>86.560013333333359</v>
      </c>
      <c r="G34" s="7">
        <f t="shared" si="6"/>
        <v>82.869066666666725</v>
      </c>
      <c r="H34" s="7">
        <f t="shared" si="6"/>
        <v>77.837586111111122</v>
      </c>
      <c r="I34" s="7">
        <f t="shared" si="6"/>
        <v>71.472262222222241</v>
      </c>
      <c r="J34" s="7">
        <f t="shared" si="6"/>
        <v>63.778193888888893</v>
      </c>
      <c r="K34" s="7">
        <f t="shared" si="6"/>
        <v>54.758870000000002</v>
      </c>
      <c r="L34" s="7">
        <f t="shared" si="6"/>
        <v>44.416645555555576</v>
      </c>
      <c r="M34" s="7">
        <f t="shared" si="6"/>
        <v>32.777522222222238</v>
      </c>
      <c r="N34" s="7">
        <f t="shared" si="6"/>
        <v>5.5669233333333699</v>
      </c>
      <c r="O34" s="7">
        <f t="shared" si="6"/>
        <v>0</v>
      </c>
      <c r="P34" s="7">
        <f>(P27-$M28)*t_R_K</f>
        <v>-37.164284685725562</v>
      </c>
    </row>
    <row r="35" spans="1:30">
      <c r="B35" s="3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30">
      <c r="C36" s="6" t="s">
        <v>122</v>
      </c>
    </row>
    <row r="37" spans="1:30">
      <c r="B37" s="3" t="s">
        <v>119</v>
      </c>
      <c r="C37" s="9">
        <f t="shared" ref="C37:O37" si="7">(C25)*t_ft_m*100</f>
        <v>0</v>
      </c>
      <c r="D37" s="9">
        <f t="shared" si="7"/>
        <v>3.0487567137552057E-2</v>
      </c>
      <c r="E37" s="9">
        <f t="shared" si="7"/>
        <v>6.8172272588155031E-2</v>
      </c>
      <c r="F37" s="9">
        <f t="shared" si="7"/>
        <v>0.10992448657859472</v>
      </c>
      <c r="G37" s="9">
        <f t="shared" si="7"/>
        <v>0.15243783568776029</v>
      </c>
      <c r="H37" s="9">
        <f t="shared" si="7"/>
        <v>0.19521568007882092</v>
      </c>
      <c r="I37" s="9">
        <f t="shared" si="7"/>
        <v>0.23811551135524833</v>
      </c>
      <c r="J37" s="9">
        <f t="shared" si="7"/>
        <v>0.28108148061936294</v>
      </c>
      <c r="K37" s="9">
        <f t="shared" si="7"/>
        <v>0.32408728414771532</v>
      </c>
      <c r="L37" s="9">
        <f t="shared" si="7"/>
        <v>0.3671189231641121</v>
      </c>
      <c r="M37" s="9">
        <f t="shared" si="7"/>
        <v>0.40960134383202246</v>
      </c>
      <c r="N37" s="9">
        <f t="shared" si="7"/>
        <v>0.41800137139107751</v>
      </c>
      <c r="O37" s="9">
        <f t="shared" si="7"/>
        <v>0.47500155839894903</v>
      </c>
      <c r="P37" s="9"/>
    </row>
    <row r="38" spans="1:30">
      <c r="A38" t="s">
        <v>121</v>
      </c>
      <c r="B38" s="3" t="s">
        <v>112</v>
      </c>
      <c r="C38" s="7">
        <f t="shared" ref="C38:O38" si="8">C31+$P38-$P31</f>
        <v>387.28169175344902</v>
      </c>
      <c r="D38" s="7">
        <f t="shared" si="8"/>
        <v>386.95372479141821</v>
      </c>
      <c r="E38" s="7">
        <f t="shared" si="8"/>
        <v>385.64185694329478</v>
      </c>
      <c r="F38" s="7">
        <f t="shared" si="8"/>
        <v>383.01812124704799</v>
      </c>
      <c r="G38" s="7">
        <f t="shared" si="8"/>
        <v>379.08251770267776</v>
      </c>
      <c r="H38" s="7">
        <f t="shared" si="8"/>
        <v>373.83504631018417</v>
      </c>
      <c r="I38" s="7">
        <f t="shared" si="8"/>
        <v>367.2757070695672</v>
      </c>
      <c r="J38" s="7">
        <f t="shared" si="8"/>
        <v>359.40449998082681</v>
      </c>
      <c r="K38" s="7">
        <f t="shared" si="8"/>
        <v>350.22142504396305</v>
      </c>
      <c r="L38" s="7">
        <f t="shared" si="8"/>
        <v>339.72648225897609</v>
      </c>
      <c r="M38" s="7">
        <f t="shared" si="8"/>
        <v>328.08404354352967</v>
      </c>
      <c r="N38" s="7">
        <f t="shared" si="8"/>
        <v>300.71233914024367</v>
      </c>
      <c r="O38" s="7">
        <f t="shared" si="8"/>
        <v>294.8982804618102</v>
      </c>
      <c r="P38" s="7">
        <f>5/9*(P24-32)</f>
        <v>290.93455198094114</v>
      </c>
      <c r="Q38" s="7"/>
      <c r="R38" s="5" t="s">
        <v>123</v>
      </c>
      <c r="S38" s="9"/>
      <c r="T38" s="3"/>
      <c r="U38" s="3"/>
      <c r="V38" s="3"/>
      <c r="W38" s="3"/>
      <c r="X38" s="3"/>
      <c r="Y38" s="3"/>
      <c r="Z38" s="3"/>
    </row>
    <row r="39" spans="1:30">
      <c r="A39" t="s">
        <v>121</v>
      </c>
      <c r="B39" s="3" t="s">
        <v>105</v>
      </c>
      <c r="C39" s="7">
        <f t="shared" ref="C39:O39" si="9">C32+$P39-$P32</f>
        <v>418.58422537037046</v>
      </c>
      <c r="D39" s="7">
        <f t="shared" si="9"/>
        <v>418.20003111111117</v>
      </c>
      <c r="E39" s="7">
        <f t="shared" si="9"/>
        <v>417.04744833333342</v>
      </c>
      <c r="F39" s="7">
        <f t="shared" si="9"/>
        <v>414.69691722222234</v>
      </c>
      <c r="G39" s="7">
        <f t="shared" si="9"/>
        <v>411.00453111111119</v>
      </c>
      <c r="H39" s="7">
        <f t="shared" si="9"/>
        <v>405.97114611111118</v>
      </c>
      <c r="I39" s="7">
        <f t="shared" si="9"/>
        <v>399.6035050000001</v>
      </c>
      <c r="J39" s="7">
        <f t="shared" si="9"/>
        <v>391.90676944444448</v>
      </c>
      <c r="K39" s="7">
        <f t="shared" si="9"/>
        <v>382.88449944444449</v>
      </c>
      <c r="L39" s="7">
        <f t="shared" si="9"/>
        <v>372.53912666666673</v>
      </c>
      <c r="M39" s="7">
        <f t="shared" si="9"/>
        <v>360.89673777777784</v>
      </c>
      <c r="N39" s="7">
        <f t="shared" si="9"/>
        <v>333.67836555555562</v>
      </c>
      <c r="O39" s="7">
        <f t="shared" si="9"/>
        <v>328.10981222222227</v>
      </c>
      <c r="P39" s="7">
        <f>5/9*(P25-32)</f>
        <v>290.93455198094114</v>
      </c>
      <c r="Q39" s="3" t="s">
        <v>105</v>
      </c>
      <c r="R39" s="16">
        <f t="shared" ref="R39:AD41" si="10">(C39-C$38)/C$38</f>
        <v>8.082626750362687E-2</v>
      </c>
      <c r="S39" s="16">
        <f t="shared" si="10"/>
        <v>8.0749465162884351E-2</v>
      </c>
      <c r="T39" s="16">
        <f t="shared" si="10"/>
        <v>8.1437195741582979E-2</v>
      </c>
      <c r="U39" s="16">
        <f t="shared" si="10"/>
        <v>8.2708347772249197E-2</v>
      </c>
      <c r="V39" s="16">
        <f t="shared" si="10"/>
        <v>8.4208614002797472E-2</v>
      </c>
      <c r="W39" s="16">
        <f t="shared" si="10"/>
        <v>8.5963314884775557E-2</v>
      </c>
      <c r="X39" s="16">
        <f t="shared" si="10"/>
        <v>8.8020517851210761E-2</v>
      </c>
      <c r="Y39" s="16">
        <f t="shared" si="10"/>
        <v>9.0433674217633805E-2</v>
      </c>
      <c r="Z39" s="16">
        <f t="shared" si="10"/>
        <v>9.3264066858220515E-2</v>
      </c>
      <c r="AA39" s="16">
        <f t="shared" si="10"/>
        <v>9.6585477203620859E-2</v>
      </c>
      <c r="AB39" s="16">
        <f t="shared" si="10"/>
        <v>0.10001307555176676</v>
      </c>
      <c r="AC39" s="16">
        <f t="shared" si="10"/>
        <v>0.10962645067895777</v>
      </c>
      <c r="AD39" s="16">
        <f t="shared" si="10"/>
        <v>0.11262029642357653</v>
      </c>
    </row>
    <row r="40" spans="1:30">
      <c r="A40" t="s">
        <v>121</v>
      </c>
      <c r="B40" s="3" t="s">
        <v>106</v>
      </c>
      <c r="C40" s="7">
        <f t="shared" ref="C40:O40" si="11">C33+$P40-$P33</f>
        <v>418.80759592592602</v>
      </c>
      <c r="D40" s="7">
        <f t="shared" si="11"/>
        <v>418.42253000000005</v>
      </c>
      <c r="E40" s="7">
        <f t="shared" si="11"/>
        <v>417.26733222222231</v>
      </c>
      <c r="F40" s="7">
        <f t="shared" si="11"/>
        <v>414.91153000000008</v>
      </c>
      <c r="G40" s="7">
        <f t="shared" si="11"/>
        <v>411.21103166666677</v>
      </c>
      <c r="H40" s="7">
        <f t="shared" si="11"/>
        <v>406.16691000000009</v>
      </c>
      <c r="I40" s="7">
        <f t="shared" si="11"/>
        <v>399.78620722222229</v>
      </c>
      <c r="J40" s="7">
        <f t="shared" si="11"/>
        <v>392.07443722222229</v>
      </c>
      <c r="K40" s="7">
        <f t="shared" si="11"/>
        <v>383.03556000000009</v>
      </c>
      <c r="L40" s="7">
        <f t="shared" si="11"/>
        <v>372.67243944444448</v>
      </c>
      <c r="M40" s="7">
        <f t="shared" si="11"/>
        <v>361.01164277777787</v>
      </c>
      <c r="N40" s="7">
        <f t="shared" si="11"/>
        <v>333.74945000000002</v>
      </c>
      <c r="O40" s="7">
        <f t="shared" si="11"/>
        <v>328.17170722222227</v>
      </c>
      <c r="P40" s="7">
        <f>5/9*(P26-32)</f>
        <v>290.93455198094114</v>
      </c>
      <c r="Q40" s="3" t="s">
        <v>106</v>
      </c>
      <c r="R40" s="16">
        <f t="shared" si="10"/>
        <v>8.1403032582668525E-2</v>
      </c>
      <c r="S40" s="16">
        <f t="shared" si="10"/>
        <v>8.1324466447621466E-2</v>
      </c>
      <c r="T40" s="16">
        <f t="shared" si="10"/>
        <v>8.2007372149900656E-2</v>
      </c>
      <c r="U40" s="16">
        <f t="shared" si="10"/>
        <v>8.3268667939553551E-2</v>
      </c>
      <c r="V40" s="16">
        <f t="shared" si="10"/>
        <v>8.4753351746988406E-2</v>
      </c>
      <c r="W40" s="16">
        <f t="shared" si="10"/>
        <v>8.6486978706081574E-2</v>
      </c>
      <c r="X40" s="16">
        <f t="shared" si="10"/>
        <v>8.8517970360879702E-2</v>
      </c>
      <c r="Y40" s="16">
        <f t="shared" si="10"/>
        <v>9.0900189739244561E-2</v>
      </c>
      <c r="Z40" s="16">
        <f t="shared" si="10"/>
        <v>9.3695395568440462E-2</v>
      </c>
      <c r="AA40" s="16">
        <f t="shared" si="10"/>
        <v>9.6977889290224453E-2</v>
      </c>
      <c r="AB40" s="16">
        <f t="shared" si="10"/>
        <v>0.10036330593407665</v>
      </c>
      <c r="AC40" s="16">
        <f t="shared" si="10"/>
        <v>0.10986283753507296</v>
      </c>
      <c r="AD40" s="16">
        <f t="shared" si="10"/>
        <v>0.11283018235408472</v>
      </c>
    </row>
    <row r="41" spans="1:30">
      <c r="A41" t="s">
        <v>121</v>
      </c>
      <c r="B41" s="3" t="s">
        <v>107</v>
      </c>
      <c r="C41" s="7">
        <f t="shared" ref="C41:O41" si="12">C34+$P41-$P34</f>
        <v>418.54460481481487</v>
      </c>
      <c r="D41" s="7">
        <f t="shared" si="12"/>
        <v>418.16056500000002</v>
      </c>
      <c r="E41" s="7">
        <f t="shared" si="12"/>
        <v>417.00844555555568</v>
      </c>
      <c r="F41" s="7">
        <f t="shared" si="12"/>
        <v>414.65885000000003</v>
      </c>
      <c r="G41" s="7">
        <f t="shared" si="12"/>
        <v>410.96790333333342</v>
      </c>
      <c r="H41" s="7">
        <f t="shared" si="12"/>
        <v>405.93642277777781</v>
      </c>
      <c r="I41" s="7">
        <f t="shared" si="12"/>
        <v>399.57109888888897</v>
      </c>
      <c r="J41" s="7">
        <f t="shared" si="12"/>
        <v>391.87703055555562</v>
      </c>
      <c r="K41" s="7">
        <f t="shared" si="12"/>
        <v>382.85770666666667</v>
      </c>
      <c r="L41" s="7">
        <f t="shared" si="12"/>
        <v>372.51548222222232</v>
      </c>
      <c r="M41" s="7">
        <f t="shared" si="12"/>
        <v>360.87635888888894</v>
      </c>
      <c r="N41" s="7">
        <f t="shared" si="12"/>
        <v>333.66576000000009</v>
      </c>
      <c r="O41" s="7">
        <f t="shared" si="12"/>
        <v>328.09883666666667</v>
      </c>
      <c r="P41" s="7">
        <f>5/9*(P27-32)</f>
        <v>290.93455198094114</v>
      </c>
      <c r="Q41" s="3" t="s">
        <v>107</v>
      </c>
      <c r="R41" s="16">
        <f t="shared" si="10"/>
        <v>8.0723963272884128E-2</v>
      </c>
      <c r="S41" s="16">
        <f t="shared" si="10"/>
        <v>8.0647473352022658E-2</v>
      </c>
      <c r="T41" s="16">
        <f t="shared" si="10"/>
        <v>8.1336058437435327E-2</v>
      </c>
      <c r="U41" s="16">
        <f t="shared" si="10"/>
        <v>8.2608960249543034E-2</v>
      </c>
      <c r="V41" s="16">
        <f t="shared" si="10"/>
        <v>8.4111991826708365E-2</v>
      </c>
      <c r="W41" s="16">
        <f t="shared" si="10"/>
        <v>8.5870430780740636E-2</v>
      </c>
      <c r="X41" s="16">
        <f t="shared" si="10"/>
        <v>8.7932284106132186E-2</v>
      </c>
      <c r="Y41" s="16">
        <f t="shared" si="10"/>
        <v>9.0350929319085102E-2</v>
      </c>
      <c r="Z41" s="16">
        <f t="shared" si="10"/>
        <v>9.3187564463272948E-2</v>
      </c>
      <c r="AA41" s="16">
        <f t="shared" si="10"/>
        <v>9.6515878730498619E-2</v>
      </c>
      <c r="AB41" s="16">
        <f t="shared" si="10"/>
        <v>9.9950960708664993E-2</v>
      </c>
      <c r="AC41" s="16">
        <f t="shared" si="10"/>
        <v>0.10958453169554802</v>
      </c>
      <c r="AD41" s="16">
        <f t="shared" si="10"/>
        <v>0.11258307831725724</v>
      </c>
    </row>
    <row r="42" spans="1:30">
      <c r="Q42" s="3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</row>
    <row r="45" spans="1:30">
      <c r="C45" s="3"/>
      <c r="D45" s="3" t="s">
        <v>124</v>
      </c>
    </row>
    <row r="46" spans="1:30">
      <c r="B46" s="7"/>
      <c r="C46" s="7"/>
      <c r="D46" s="7">
        <v>676.86939600000005</v>
      </c>
      <c r="E46" s="7">
        <v>674.79287999999997</v>
      </c>
      <c r="F46" s="7">
        <v>670.55812600000002</v>
      </c>
      <c r="G46" s="7">
        <v>663.905891</v>
      </c>
      <c r="H46" s="7">
        <v>654.83775500000002</v>
      </c>
      <c r="I46" s="7">
        <v>643.36592700000006</v>
      </c>
      <c r="J46" s="7">
        <v>629.49978899999996</v>
      </c>
      <c r="K46" s="7">
        <v>613.24586999999997</v>
      </c>
      <c r="L46" s="7">
        <v>594.6087</v>
      </c>
      <c r="M46" s="7">
        <v>573.63546199999996</v>
      </c>
      <c r="N46" s="7">
        <v>573.62184100000002</v>
      </c>
      <c r="O46" s="7">
        <v>563.589654</v>
      </c>
      <c r="P46" s="7"/>
    </row>
  </sheetData>
  <mergeCells count="1">
    <mergeCell ref="B1:E2"/>
  </mergeCells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6"/>
  <sheetViews>
    <sheetView topLeftCell="A43" zoomScale="90" zoomScaleNormal="90" zoomScalePageLayoutView="90" workbookViewId="0">
      <selection activeCell="L104" sqref="L104"/>
    </sheetView>
  </sheetViews>
  <sheetFormatPr baseColWidth="10" defaultColWidth="8.83203125" defaultRowHeight="12" x14ac:dyDescent="0"/>
  <sheetData>
    <row r="1" spans="2:5">
      <c r="B1" s="2" t="s">
        <v>97</v>
      </c>
      <c r="C1" s="2"/>
      <c r="D1" s="2"/>
      <c r="E1" s="2"/>
    </row>
    <row r="2" spans="2:5">
      <c r="B2" s="2"/>
      <c r="C2" s="2"/>
      <c r="D2" s="2"/>
      <c r="E2" s="2"/>
    </row>
    <row r="4" spans="2:5">
      <c r="B4" t="s">
        <v>98</v>
      </c>
    </row>
    <row r="6" spans="2:5">
      <c r="B6" s="6" t="s">
        <v>99</v>
      </c>
    </row>
    <row r="7" spans="2:5">
      <c r="C7" t="s">
        <v>100</v>
      </c>
      <c r="D7" t="s">
        <v>101</v>
      </c>
      <c r="E7" t="s">
        <v>101</v>
      </c>
    </row>
    <row r="8" spans="2:5">
      <c r="C8" t="s">
        <v>102</v>
      </c>
      <c r="D8" t="s">
        <v>103</v>
      </c>
      <c r="E8" t="s">
        <v>82</v>
      </c>
    </row>
    <row r="9" spans="2:5">
      <c r="B9" s="3" t="s">
        <v>104</v>
      </c>
      <c r="C9" s="9">
        <v>0.66138600000000003</v>
      </c>
      <c r="D9" s="3">
        <v>554.23225806451603</v>
      </c>
      <c r="E9" s="3">
        <f>2.326*D9</f>
        <v>1289.1442322580642</v>
      </c>
    </row>
    <row r="10" spans="2:5">
      <c r="B10" s="3" t="s">
        <v>105</v>
      </c>
      <c r="C10" s="9">
        <v>0.66139538674123899</v>
      </c>
      <c r="D10" s="3">
        <v>575.51767919587201</v>
      </c>
      <c r="E10" s="3">
        <f>2.326*D10</f>
        <v>1338.6541218095983</v>
      </c>
    </row>
    <row r="11" spans="2:5">
      <c r="B11" s="3" t="s">
        <v>106</v>
      </c>
      <c r="C11" s="3">
        <f>C10</f>
        <v>0.66139538674123899</v>
      </c>
      <c r="D11" s="3">
        <v>575.54545097384698</v>
      </c>
      <c r="E11" s="3">
        <f>2.326*D11</f>
        <v>1338.7187189651681</v>
      </c>
    </row>
    <row r="12" spans="2:5">
      <c r="B12" s="3" t="s">
        <v>107</v>
      </c>
      <c r="C12" s="3">
        <f>C11</f>
        <v>0.66139538674123899</v>
      </c>
      <c r="D12" s="3">
        <v>575.51049558913098</v>
      </c>
      <c r="E12" s="3">
        <f>2.326*D12</f>
        <v>1338.6374127403187</v>
      </c>
    </row>
    <row r="16" spans="2:5">
      <c r="B16" s="6" t="s">
        <v>108</v>
      </c>
    </row>
    <row r="17" spans="1:40">
      <c r="B17" s="3"/>
      <c r="C17" s="3" t="s">
        <v>109</v>
      </c>
      <c r="D17" s="3" t="s">
        <v>110</v>
      </c>
      <c r="E17" s="3" t="s">
        <v>111</v>
      </c>
    </row>
    <row r="18" spans="1:40">
      <c r="B18" s="3"/>
      <c r="C18" s="3" t="s">
        <v>82</v>
      </c>
      <c r="D18" s="3" t="s">
        <v>62</v>
      </c>
      <c r="E18" s="3" t="s">
        <v>60</v>
      </c>
    </row>
    <row r="19" spans="1:40">
      <c r="B19" s="3" t="s">
        <v>112</v>
      </c>
      <c r="C19" s="3">
        <f>q_lin*L_chan/(M_dot)</f>
        <v>48.773333333333333</v>
      </c>
      <c r="D19" s="13">
        <f>M_dot*C19</f>
        <v>14.632</v>
      </c>
      <c r="E19" s="7">
        <f>q_lin</f>
        <v>4</v>
      </c>
      <c r="F19" t="s">
        <v>113</v>
      </c>
    </row>
    <row r="20" spans="1:40">
      <c r="B20" s="3" t="s">
        <v>105</v>
      </c>
      <c r="C20" s="7">
        <f>E10-$E$9</f>
        <v>49.509889551534116</v>
      </c>
      <c r="D20" s="13">
        <f>M_dot*C20</f>
        <v>14.852966865460234</v>
      </c>
      <c r="E20" s="7">
        <f>D20/L_chan</f>
        <v>4.060406469507992</v>
      </c>
      <c r="F20" s="14">
        <f>(E20-$E$19)/$E$19</f>
        <v>1.5101617376998E-2</v>
      </c>
    </row>
    <row r="21" spans="1:40">
      <c r="B21" s="3" t="s">
        <v>106</v>
      </c>
      <c r="C21" s="7">
        <f>E11-$E$9</f>
        <v>49.574486707103915</v>
      </c>
      <c r="D21" s="13">
        <f>M_dot*C21</f>
        <v>14.872346012131175</v>
      </c>
      <c r="E21" s="7">
        <f>D21/L_chan</f>
        <v>4.0657042132671339</v>
      </c>
      <c r="F21" s="14">
        <f>(E21-$E$19)/$E$19</f>
        <v>1.6426053316783484E-2</v>
      </c>
    </row>
    <row r="22" spans="1:40">
      <c r="B22" s="3" t="s">
        <v>107</v>
      </c>
      <c r="C22" s="7">
        <f>E12-$E$9</f>
        <v>49.493180482254502</v>
      </c>
      <c r="D22" s="13">
        <f>M_dot*C22</f>
        <v>14.847954144676351</v>
      </c>
      <c r="E22" s="7">
        <f>D22/L_chan</f>
        <v>4.0590361248431792</v>
      </c>
      <c r="F22" s="14">
        <f>(E22-$E$19)/$E$19</f>
        <v>1.4759031210794804E-2</v>
      </c>
    </row>
    <row r="23" spans="1:40">
      <c r="C23" s="6" t="s">
        <v>99</v>
      </c>
    </row>
    <row r="24" spans="1:40">
      <c r="B24" t="s">
        <v>115</v>
      </c>
      <c r="D24" s="11">
        <f>D25</f>
        <v>4.8729883837070098E-4</v>
      </c>
      <c r="E24" s="11">
        <f>E25</f>
        <v>1.0896333279535699E-3</v>
      </c>
      <c r="F24">
        <f t="shared" ref="F24:Y24" si="0">F25-E25</f>
        <v>6.6734762026603015E-4</v>
      </c>
      <c r="G24">
        <f t="shared" si="0"/>
        <v>6.7951324363390003E-4</v>
      </c>
      <c r="H24">
        <f t="shared" si="0"/>
        <v>6.8374081099081005E-4</v>
      </c>
      <c r="I24">
        <f t="shared" si="0"/>
        <v>6.8569059161014984E-4</v>
      </c>
      <c r="J24">
        <f t="shared" si="0"/>
        <v>6.8674770989140014E-4</v>
      </c>
      <c r="K24">
        <f t="shared" si="0"/>
        <v>6.8738440191091002E-4</v>
      </c>
      <c r="L24">
        <f t="shared" si="0"/>
        <v>6.8779734411964985E-4</v>
      </c>
      <c r="M24">
        <f t="shared" si="0"/>
        <v>6.8808031963873018E-4</v>
      </c>
      <c r="N24">
        <f t="shared" si="0"/>
        <v>6.8828266169213958E-4</v>
      </c>
      <c r="O24">
        <f t="shared" si="0"/>
        <v>6.8843233481714027E-4</v>
      </c>
      <c r="P24">
        <f t="shared" si="0"/>
        <v>6.8854615226789963E-4</v>
      </c>
      <c r="Q24">
        <f t="shared" si="0"/>
        <v>6.8863471626577979E-4</v>
      </c>
      <c r="R24">
        <f t="shared" si="0"/>
        <v>6.887049811287408E-4</v>
      </c>
      <c r="S24">
        <f t="shared" si="0"/>
        <v>6.8876166209115054E-4</v>
      </c>
      <c r="T24">
        <f t="shared" si="0"/>
        <v>6.8880804788149994E-4</v>
      </c>
      <c r="U24">
        <f t="shared" si="0"/>
        <v>6.8884648895049978E-4</v>
      </c>
      <c r="V24">
        <f t="shared" si="0"/>
        <v>6.8887870130529896E-4</v>
      </c>
      <c r="W24">
        <f t="shared" si="0"/>
        <v>6.8448909355850115E-4</v>
      </c>
      <c r="X24">
        <f t="shared" si="0"/>
        <v>2.7559055118109993E-4</v>
      </c>
      <c r="Y24">
        <f t="shared" si="0"/>
        <v>1.8700787401573996E-3</v>
      </c>
      <c r="Z24" s="3" t="s">
        <v>114</v>
      </c>
    </row>
    <row r="25" spans="1:40">
      <c r="B25" t="s">
        <v>116</v>
      </c>
      <c r="C25">
        <v>0</v>
      </c>
      <c r="D25" s="11">
        <v>4.8729883837070098E-4</v>
      </c>
      <c r="E25" s="11">
        <v>1.0896333279535699E-3</v>
      </c>
      <c r="F25" s="11">
        <v>1.7569809482196001E-3</v>
      </c>
      <c r="G25" s="11">
        <v>2.4364941918535001E-3</v>
      </c>
      <c r="H25" s="11">
        <v>3.1202350028443101E-3</v>
      </c>
      <c r="I25" s="11">
        <v>3.80592559445446E-3</v>
      </c>
      <c r="J25" s="11">
        <v>4.4926733043458601E-3</v>
      </c>
      <c r="K25" s="11">
        <v>5.1800577062567701E-3</v>
      </c>
      <c r="L25" s="11">
        <v>5.86785505037642E-3</v>
      </c>
      <c r="M25" s="11">
        <v>6.5559353700151502E-3</v>
      </c>
      <c r="N25" s="11">
        <v>7.2442180317072898E-3</v>
      </c>
      <c r="O25" s="11">
        <v>7.93265036652443E-3</v>
      </c>
      <c r="P25" s="11">
        <v>8.6211965187923296E-3</v>
      </c>
      <c r="Q25" s="11">
        <v>9.3098312350581094E-3</v>
      </c>
      <c r="R25" s="11">
        <v>9.9985362161868502E-3</v>
      </c>
      <c r="S25" s="11">
        <v>1.0687297878278001E-2</v>
      </c>
      <c r="T25" s="11">
        <v>1.1376105926159501E-2</v>
      </c>
      <c r="U25" s="11">
        <v>1.2064952415110001E-2</v>
      </c>
      <c r="V25" s="11">
        <v>1.2753831116415299E-2</v>
      </c>
      <c r="W25" s="11">
        <v>1.3438320209973801E-2</v>
      </c>
      <c r="X25" s="11">
        <v>1.3713910761154901E-2</v>
      </c>
      <c r="Y25" s="11">
        <v>1.55839895013123E-2</v>
      </c>
      <c r="Z25" s="15">
        <f>(t_in+q_lin*dz*2/(M_dot*cp_in))*9/5+32</f>
        <v>555.68219356569398</v>
      </c>
    </row>
    <row r="26" spans="1:40">
      <c r="A26" t="s">
        <v>117</v>
      </c>
      <c r="B26" s="3" t="s">
        <v>105</v>
      </c>
      <c r="C26" s="7">
        <f>1/3*(4*D26-E26)</f>
        <v>728.28747866666663</v>
      </c>
      <c r="D26" s="27">
        <v>728.12333100000001</v>
      </c>
      <c r="E26" s="7">
        <v>727.63088800000003</v>
      </c>
      <c r="F26" s="7">
        <v>726.62663999999995</v>
      </c>
      <c r="G26" s="7">
        <v>725.04914799999995</v>
      </c>
      <c r="H26" s="7">
        <v>722.89884900000004</v>
      </c>
      <c r="I26" s="7">
        <v>720.17871300000002</v>
      </c>
      <c r="J26" s="7">
        <v>716.89105700000005</v>
      </c>
      <c r="K26" s="7">
        <v>713.03752299999996</v>
      </c>
      <c r="L26" s="7">
        <v>708.619282</v>
      </c>
      <c r="M26" s="7">
        <v>703.63718200000005</v>
      </c>
      <c r="N26" s="7">
        <v>698.09184700000003</v>
      </c>
      <c r="O26" s="7">
        <v>691.983743</v>
      </c>
      <c r="P26" s="7">
        <v>685.31322</v>
      </c>
      <c r="Q26" s="7">
        <v>678.08053900000004</v>
      </c>
      <c r="R26" s="7">
        <v>670.28589799999997</v>
      </c>
      <c r="S26" s="7">
        <v>661.92944299999999</v>
      </c>
      <c r="T26">
        <v>653.01127899999994</v>
      </c>
      <c r="U26">
        <v>643.53148199999998</v>
      </c>
      <c r="V26">
        <v>633.49009899999999</v>
      </c>
      <c r="W26">
        <v>622.89240099999995</v>
      </c>
      <c r="X26">
        <v>573.68885399999999</v>
      </c>
      <c r="Y26">
        <v>563.62236800000005</v>
      </c>
      <c r="Z26" s="11">
        <f>Z25</f>
        <v>555.68219356569398</v>
      </c>
    </row>
    <row r="27" spans="1:40">
      <c r="A27" t="s">
        <v>117</v>
      </c>
      <c r="B27" s="3" t="s">
        <v>106</v>
      </c>
      <c r="C27" s="7">
        <f>1/3*(4*D27-E27)</f>
        <v>728.57967633333328</v>
      </c>
      <c r="D27" s="26">
        <v>728.41516899999999</v>
      </c>
      <c r="E27">
        <v>727.92164700000001</v>
      </c>
      <c r="F27">
        <v>726.91520400000002</v>
      </c>
      <c r="G27">
        <v>725.33428100000003</v>
      </c>
      <c r="H27">
        <v>723.17933700000003</v>
      </c>
      <c r="I27">
        <v>720.45337900000004</v>
      </c>
      <c r="J27">
        <v>717.15876500000002</v>
      </c>
      <c r="K27">
        <v>713.29718600000001</v>
      </c>
      <c r="L27">
        <v>708.869865</v>
      </c>
      <c r="M27">
        <v>703.87770899999998</v>
      </c>
      <c r="N27">
        <v>698.32140700000002</v>
      </c>
      <c r="O27">
        <v>692.20149400000003</v>
      </c>
      <c r="P27">
        <v>685.51839299999995</v>
      </c>
      <c r="Q27">
        <v>678.27244700000006</v>
      </c>
      <c r="R27">
        <v>670.46393499999999</v>
      </c>
      <c r="S27">
        <v>662.09308899999996</v>
      </c>
      <c r="T27">
        <v>653.16010200000005</v>
      </c>
      <c r="U27">
        <v>643.66513999999995</v>
      </c>
      <c r="V27">
        <v>633.60834399999999</v>
      </c>
      <c r="W27">
        <v>622.99508000000003</v>
      </c>
      <c r="X27">
        <v>573.71884699999998</v>
      </c>
      <c r="Y27">
        <v>563.637113</v>
      </c>
      <c r="Z27" s="11">
        <f>Z26</f>
        <v>555.68219356569398</v>
      </c>
    </row>
    <row r="28" spans="1:40">
      <c r="A28" t="s">
        <v>117</v>
      </c>
      <c r="B28" s="3" t="s">
        <v>107</v>
      </c>
      <c r="C28" s="7">
        <f>1/3*(4*D28-E28)</f>
        <v>728.23450633333334</v>
      </c>
      <c r="D28" s="27">
        <v>728.070424</v>
      </c>
      <c r="E28">
        <v>727.57817699999998</v>
      </c>
      <c r="F28">
        <v>726.57432700000004</v>
      </c>
      <c r="G28">
        <v>724.99745700000005</v>
      </c>
      <c r="H28">
        <v>722.84799999999996</v>
      </c>
      <c r="I28">
        <v>720.12892099999999</v>
      </c>
      <c r="J28">
        <v>716.84252600000002</v>
      </c>
      <c r="K28">
        <v>712.99045000000001</v>
      </c>
      <c r="L28">
        <v>708.57385599999998</v>
      </c>
      <c r="M28">
        <v>703.59357899999998</v>
      </c>
      <c r="N28">
        <v>698.05023300000005</v>
      </c>
      <c r="O28">
        <v>691.94426999999996</v>
      </c>
      <c r="P28">
        <v>685.276027</v>
      </c>
      <c r="Q28">
        <v>678.045751</v>
      </c>
      <c r="R28">
        <v>670.25362500000006</v>
      </c>
      <c r="S28">
        <v>661.89977899999997</v>
      </c>
      <c r="T28">
        <v>652.98430399999995</v>
      </c>
      <c r="U28">
        <v>643.50725599999998</v>
      </c>
      <c r="V28">
        <v>633.46866799999998</v>
      </c>
      <c r="W28">
        <v>622.87379099999998</v>
      </c>
      <c r="X28">
        <v>573.68342299999995</v>
      </c>
      <c r="Y28">
        <v>563.61970099999996</v>
      </c>
      <c r="Z28" s="11">
        <f>Z27</f>
        <v>555.68219356569398</v>
      </c>
    </row>
    <row r="29" spans="1:40">
      <c r="C29" s="6" t="s">
        <v>118</v>
      </c>
    </row>
    <row r="30" spans="1:40">
      <c r="B30" s="3" t="s">
        <v>119</v>
      </c>
      <c r="C30" s="7">
        <f t="shared" ref="C30:Y30" si="1">(C25)*t_ft_m*100</f>
        <v>0</v>
      </c>
      <c r="D30" s="7">
        <f t="shared" si="1"/>
        <v>1.4852917323422801E-2</v>
      </c>
      <c r="E30" s="7">
        <f t="shared" si="1"/>
        <v>3.3212132799357606E-2</v>
      </c>
      <c r="F30" s="7">
        <f t="shared" si="1"/>
        <v>5.3552954999828234E-2</v>
      </c>
      <c r="G30" s="7">
        <f t="shared" si="1"/>
        <v>7.4264586617113867E-2</v>
      </c>
      <c r="H30" s="7">
        <f t="shared" si="1"/>
        <v>9.5105074910194848E-2</v>
      </c>
      <c r="I30" s="7">
        <f t="shared" si="1"/>
        <v>0.11600499271153138</v>
      </c>
      <c r="J30" s="7">
        <f t="shared" si="1"/>
        <v>0.13693713158379225</v>
      </c>
      <c r="K30" s="7">
        <f t="shared" si="1"/>
        <v>0.15788867689247699</v>
      </c>
      <c r="L30" s="7">
        <f t="shared" si="1"/>
        <v>0.17885280872097831</v>
      </c>
      <c r="M30" s="7">
        <f t="shared" si="1"/>
        <v>0.19982556567159876</v>
      </c>
      <c r="N30" s="7">
        <f t="shared" si="1"/>
        <v>0.22080449002824135</v>
      </c>
      <c r="O30" s="7">
        <f t="shared" si="1"/>
        <v>0.24178797643670127</v>
      </c>
      <c r="P30" s="7">
        <f t="shared" si="1"/>
        <v>0.26277493201244206</v>
      </c>
      <c r="Q30" s="7">
        <f t="shared" si="1"/>
        <v>0.28376458702769464</v>
      </c>
      <c r="R30" s="7">
        <f t="shared" si="1"/>
        <v>0.30475638372299679</v>
      </c>
      <c r="S30" s="7">
        <f t="shared" si="1"/>
        <v>0.32574990805970128</v>
      </c>
      <c r="T30" s="7">
        <f t="shared" si="1"/>
        <v>0.34674484623993418</v>
      </c>
      <c r="U30" s="7">
        <f t="shared" si="1"/>
        <v>0.36774095610779434</v>
      </c>
      <c r="V30" s="7">
        <f t="shared" si="1"/>
        <v>0.38873804781144994</v>
      </c>
      <c r="W30" s="7">
        <f t="shared" si="1"/>
        <v>0.40960134383202246</v>
      </c>
      <c r="X30" s="7">
        <f t="shared" si="1"/>
        <v>0.41800137139107751</v>
      </c>
      <c r="Y30" s="7">
        <f t="shared" si="1"/>
        <v>0.47500155839894903</v>
      </c>
      <c r="AB30" s="7"/>
      <c r="AC30" s="5" t="s">
        <v>120</v>
      </c>
      <c r="AD30" s="9"/>
      <c r="AE30" s="3"/>
      <c r="AF30" s="3"/>
      <c r="AG30" s="3"/>
      <c r="AH30" s="3"/>
      <c r="AI30" s="3"/>
      <c r="AJ30" s="3"/>
      <c r="AK30" s="3"/>
    </row>
    <row r="31" spans="1:40">
      <c r="A31" t="s">
        <v>121</v>
      </c>
      <c r="B31" s="3" t="s">
        <v>112</v>
      </c>
      <c r="C31" s="7">
        <f t="shared" ref="C31:V31" si="2">q_dot*1000/(4*k_fuel)*((R_fuel/100)^2)*(1-(C30/R_fuel)^2)+delta_gap+delta_clad</f>
        <v>92.383411291638822</v>
      </c>
      <c r="D31" s="7">
        <f t="shared" si="2"/>
        <v>92.305570349302769</v>
      </c>
      <c r="E31" s="7">
        <f t="shared" si="2"/>
        <v>91.994206579958558</v>
      </c>
      <c r="F31" s="7">
        <f t="shared" si="2"/>
        <v>91.371479041270135</v>
      </c>
      <c r="G31" s="7">
        <f t="shared" si="2"/>
        <v>90.4373877332375</v>
      </c>
      <c r="H31" s="7">
        <f t="shared" si="2"/>
        <v>89.19193265586064</v>
      </c>
      <c r="I31" s="7">
        <f t="shared" si="2"/>
        <v>87.635113809139568</v>
      </c>
      <c r="J31" s="7">
        <f t="shared" si="2"/>
        <v>85.766931193074299</v>
      </c>
      <c r="K31" s="7">
        <f t="shared" si="2"/>
        <v>83.587384807664804</v>
      </c>
      <c r="L31" s="7">
        <f t="shared" si="2"/>
        <v>81.096474652911098</v>
      </c>
      <c r="M31" s="7">
        <f t="shared" si="2"/>
        <v>78.294200728813195</v>
      </c>
      <c r="N31" s="7">
        <f t="shared" si="2"/>
        <v>75.180563035371094</v>
      </c>
      <c r="O31" s="7">
        <f t="shared" si="2"/>
        <v>71.755561572584739</v>
      </c>
      <c r="P31" s="7">
        <f t="shared" si="2"/>
        <v>68.019196340454215</v>
      </c>
      <c r="Q31" s="7">
        <f t="shared" si="2"/>
        <v>63.971467338979444</v>
      </c>
      <c r="R31" s="7">
        <f t="shared" si="2"/>
        <v>59.612374568160426</v>
      </c>
      <c r="S31" s="7">
        <f t="shared" si="2"/>
        <v>54.941918027997453</v>
      </c>
      <c r="T31" s="7">
        <f t="shared" si="2"/>
        <v>49.960097718490054</v>
      </c>
      <c r="U31" s="7">
        <f t="shared" si="2"/>
        <v>44.666913639637848</v>
      </c>
      <c r="V31" s="7">
        <f t="shared" si="2"/>
        <v>39.062365791442303</v>
      </c>
      <c r="W31" s="7">
        <f>delta_gap+delta_clad</f>
        <v>33.185763081719486</v>
      </c>
      <c r="X31" s="7">
        <f>delta_clad</f>
        <v>5.8140586784334642</v>
      </c>
      <c r="Y31" s="7">
        <v>0</v>
      </c>
      <c r="AA31" s="7">
        <f>-delta_fluid</f>
        <v>-3.9637284808690443</v>
      </c>
      <c r="AB31" s="3" t="s">
        <v>105</v>
      </c>
      <c r="AC31" s="8">
        <f t="shared" ref="AC31:AN33" si="3">C32-C$31</f>
        <v>-0.90279425460182949</v>
      </c>
      <c r="AD31" s="8">
        <f t="shared" si="3"/>
        <v>-0.91614646041389847</v>
      </c>
      <c r="AE31" s="8">
        <f t="shared" si="3"/>
        <v>-0.87836213551412357</v>
      </c>
      <c r="AF31" s="8">
        <f t="shared" si="3"/>
        <v>-0.81355015238129624</v>
      </c>
      <c r="AG31" s="8">
        <f t="shared" si="3"/>
        <v>-0.75584328879311613</v>
      </c>
      <c r="AH31" s="8">
        <f t="shared" si="3"/>
        <v>-0.70499876697175523</v>
      </c>
      <c r="AI31" s="8">
        <f t="shared" si="3"/>
        <v>-0.65936658691735772</v>
      </c>
      <c r="AJ31" s="8">
        <f t="shared" si="3"/>
        <v>-0.61765952640763544</v>
      </c>
      <c r="AK31" s="8">
        <f t="shared" si="3"/>
        <v>-0.57896536322040504</v>
      </c>
      <c r="AL31" s="8">
        <f t="shared" si="3"/>
        <v>-0.542633541800015</v>
      </c>
      <c r="AM31" s="8">
        <f t="shared" si="3"/>
        <v>-0.50819295103541151</v>
      </c>
      <c r="AN31" s="8">
        <f t="shared" si="3"/>
        <v>-0.47529692425999315</v>
      </c>
    </row>
    <row r="32" spans="1:40">
      <c r="A32" t="s">
        <v>121</v>
      </c>
      <c r="B32" s="3" t="s">
        <v>105</v>
      </c>
      <c r="C32" s="7">
        <f t="shared" ref="C32:Y32" si="4">(C26-$Y26)*t_R_K</f>
        <v>91.480617037036993</v>
      </c>
      <c r="D32" s="7">
        <f t="shared" si="4"/>
        <v>91.389423888888871</v>
      </c>
      <c r="E32" s="7">
        <f t="shared" si="4"/>
        <v>91.115844444444434</v>
      </c>
      <c r="F32" s="7">
        <f t="shared" si="4"/>
        <v>90.557928888888839</v>
      </c>
      <c r="G32" s="7">
        <f t="shared" si="4"/>
        <v>89.681544444444384</v>
      </c>
      <c r="H32" s="7">
        <f t="shared" si="4"/>
        <v>88.486933888888885</v>
      </c>
      <c r="I32" s="7">
        <f t="shared" si="4"/>
        <v>86.975747222222211</v>
      </c>
      <c r="J32" s="7">
        <f t="shared" si="4"/>
        <v>85.149271666666664</v>
      </c>
      <c r="K32" s="7">
        <f t="shared" si="4"/>
        <v>83.008419444444399</v>
      </c>
      <c r="L32" s="7">
        <f t="shared" si="4"/>
        <v>80.553841111111083</v>
      </c>
      <c r="M32" s="7">
        <f t="shared" si="4"/>
        <v>77.786007777777783</v>
      </c>
      <c r="N32" s="7">
        <f t="shared" si="4"/>
        <v>74.705266111111101</v>
      </c>
      <c r="O32" s="7">
        <f t="shared" si="4"/>
        <v>71.311874999999972</v>
      </c>
      <c r="P32" s="7">
        <f t="shared" si="4"/>
        <v>67.606028888888858</v>
      </c>
      <c r="Q32" s="7">
        <f t="shared" si="4"/>
        <v>63.587872777777775</v>
      </c>
      <c r="R32" s="7">
        <f t="shared" si="4"/>
        <v>59.257516666666625</v>
      </c>
      <c r="S32" s="7">
        <f t="shared" si="4"/>
        <v>54.615041666666635</v>
      </c>
      <c r="T32" s="7">
        <f t="shared" si="4"/>
        <v>49.660506111111054</v>
      </c>
      <c r="U32" s="7">
        <f t="shared" si="4"/>
        <v>44.393952222222183</v>
      </c>
      <c r="V32" s="7">
        <f t="shared" si="4"/>
        <v>38.815406111111074</v>
      </c>
      <c r="W32" s="7">
        <f t="shared" si="4"/>
        <v>32.927796111111057</v>
      </c>
      <c r="X32" s="7">
        <f t="shared" si="4"/>
        <v>5.59249222222219</v>
      </c>
      <c r="Y32" s="7">
        <f t="shared" si="4"/>
        <v>0</v>
      </c>
      <c r="AA32" s="7">
        <f>(Z26-$Y26)*t_R_K</f>
        <v>-4.4112080190589298</v>
      </c>
      <c r="AB32" s="3" t="s">
        <v>106</v>
      </c>
      <c r="AC32" s="8">
        <f t="shared" si="3"/>
        <v>-0.74865388423144452</v>
      </c>
      <c r="AD32" s="8">
        <f t="shared" si="3"/>
        <v>-0.76220590485831963</v>
      </c>
      <c r="AE32" s="8">
        <f t="shared" si="3"/>
        <v>-0.72502102440299154</v>
      </c>
      <c r="AF32" s="8">
        <f t="shared" si="3"/>
        <v>-0.66142848571456625</v>
      </c>
      <c r="AG32" s="8">
        <f t="shared" si="3"/>
        <v>-0.60562773323748331</v>
      </c>
      <c r="AH32" s="8">
        <f t="shared" si="3"/>
        <v>-0.55736376697173284</v>
      </c>
      <c r="AI32" s="8">
        <f t="shared" si="3"/>
        <v>-0.51496603136176589</v>
      </c>
      <c r="AJ32" s="8">
        <f t="shared" si="3"/>
        <v>-0.47712452640762137</v>
      </c>
      <c r="AK32" s="8">
        <f t="shared" si="3"/>
        <v>-0.44289980766480141</v>
      </c>
      <c r="AL32" s="8">
        <f t="shared" si="3"/>
        <v>-0.41161243068887643</v>
      </c>
      <c r="AM32" s="8">
        <f t="shared" si="3"/>
        <v>-0.38275850659097443</v>
      </c>
      <c r="AN32" s="8">
        <f t="shared" si="3"/>
        <v>-0.35595525759329405</v>
      </c>
    </row>
    <row r="33" spans="1:41">
      <c r="A33" t="s">
        <v>121</v>
      </c>
      <c r="B33" s="3" t="s">
        <v>106</v>
      </c>
      <c r="C33" s="7">
        <f t="shared" ref="C33:Y33" si="5">(C27-$Y27)*t_R_K</f>
        <v>91.634757407407378</v>
      </c>
      <c r="D33" s="7">
        <f t="shared" si="5"/>
        <v>91.54336444444445</v>
      </c>
      <c r="E33" s="7">
        <f t="shared" si="5"/>
        <v>91.269185555555566</v>
      </c>
      <c r="F33" s="7">
        <f t="shared" si="5"/>
        <v>90.710050555555569</v>
      </c>
      <c r="G33" s="7">
        <f t="shared" si="5"/>
        <v>89.831760000000017</v>
      </c>
      <c r="H33" s="7">
        <f t="shared" si="5"/>
        <v>88.634568888888907</v>
      </c>
      <c r="I33" s="7">
        <f t="shared" si="5"/>
        <v>87.120147777777802</v>
      </c>
      <c r="J33" s="7">
        <f t="shared" si="5"/>
        <v>85.289806666666678</v>
      </c>
      <c r="K33" s="7">
        <f t="shared" si="5"/>
        <v>83.144485000000003</v>
      </c>
      <c r="L33" s="7">
        <f t="shared" si="5"/>
        <v>80.684862222222222</v>
      </c>
      <c r="M33" s="7">
        <f t="shared" si="5"/>
        <v>77.91144222222222</v>
      </c>
      <c r="N33" s="7">
        <f t="shared" si="5"/>
        <v>74.8246077777778</v>
      </c>
      <c r="O33" s="7">
        <f t="shared" si="5"/>
        <v>71.424656111111133</v>
      </c>
      <c r="P33" s="7">
        <f t="shared" si="5"/>
        <v>67.711822222222196</v>
      </c>
      <c r="Q33" s="7">
        <f t="shared" si="5"/>
        <v>63.686296666666699</v>
      </c>
      <c r="R33" s="7">
        <f t="shared" si="5"/>
        <v>59.348234444444444</v>
      </c>
      <c r="S33" s="7">
        <f t="shared" si="5"/>
        <v>54.697764444444424</v>
      </c>
      <c r="T33" s="7">
        <f t="shared" si="5"/>
        <v>49.734993888888923</v>
      </c>
      <c r="U33" s="7">
        <f t="shared" si="5"/>
        <v>44.460014999999977</v>
      </c>
      <c r="V33" s="7">
        <f t="shared" si="5"/>
        <v>38.872906111111106</v>
      </c>
      <c r="W33" s="7">
        <f t="shared" si="5"/>
        <v>32.976648333333351</v>
      </c>
      <c r="X33" s="7">
        <f t="shared" si="5"/>
        <v>5.6009633333333246</v>
      </c>
      <c r="Y33" s="7">
        <f t="shared" si="5"/>
        <v>0</v>
      </c>
      <c r="AA33" s="7">
        <f>(Z27-$Y27)*t_R_K</f>
        <v>-4.4193996857255673</v>
      </c>
      <c r="AB33" s="3" t="s">
        <v>107</v>
      </c>
      <c r="AC33" s="8">
        <f t="shared" si="3"/>
        <v>-0.93074166200916864</v>
      </c>
      <c r="AD33" s="8">
        <f t="shared" si="3"/>
        <v>-0.94405757152496506</v>
      </c>
      <c r="AE33" s="8">
        <f t="shared" si="3"/>
        <v>-0.90616435773631565</v>
      </c>
      <c r="AF33" s="8">
        <f t="shared" si="3"/>
        <v>-0.84113126349231493</v>
      </c>
      <c r="AG33" s="8">
        <f t="shared" si="3"/>
        <v>-0.78307884434855168</v>
      </c>
      <c r="AH33" s="8">
        <f t="shared" si="3"/>
        <v>-0.73176654474953295</v>
      </c>
      <c r="AI33" s="8">
        <f t="shared" si="3"/>
        <v>-0.68554714247288473</v>
      </c>
      <c r="AJ33" s="8">
        <f t="shared" si="3"/>
        <v>-0.64313952640759453</v>
      </c>
      <c r="AK33" s="8">
        <f t="shared" si="3"/>
        <v>-0.6036353632203344</v>
      </c>
      <c r="AL33" s="8">
        <f t="shared" si="3"/>
        <v>-0.56638854179998077</v>
      </c>
      <c r="AM33" s="8">
        <f t="shared" si="3"/>
        <v>-0.53093517325763173</v>
      </c>
      <c r="AN33" s="8">
        <f t="shared" si="3"/>
        <v>-0.49693414648216105</v>
      </c>
    </row>
    <row r="34" spans="1:41">
      <c r="A34" t="s">
        <v>121</v>
      </c>
      <c r="B34" s="3" t="s">
        <v>107</v>
      </c>
      <c r="C34" s="7">
        <f t="shared" ref="C34:Y34" si="6">(C28-$Y28)*t_R_K</f>
        <v>91.452669629629654</v>
      </c>
      <c r="D34" s="7">
        <f t="shared" si="6"/>
        <v>91.361512777777804</v>
      </c>
      <c r="E34" s="7">
        <f t="shared" si="6"/>
        <v>91.088042222222242</v>
      </c>
      <c r="F34" s="7">
        <f t="shared" si="6"/>
        <v>90.53034777777782</v>
      </c>
      <c r="G34" s="7">
        <f t="shared" si="6"/>
        <v>89.654308888888949</v>
      </c>
      <c r="H34" s="7">
        <f t="shared" si="6"/>
        <v>88.460166111111107</v>
      </c>
      <c r="I34" s="7">
        <f t="shared" si="6"/>
        <v>86.949566666666684</v>
      </c>
      <c r="J34" s="7">
        <f t="shared" si="6"/>
        <v>85.123791666666705</v>
      </c>
      <c r="K34" s="7">
        <f t="shared" si="6"/>
        <v>82.98374944444447</v>
      </c>
      <c r="L34" s="7">
        <f t="shared" si="6"/>
        <v>80.530086111111117</v>
      </c>
      <c r="M34" s="7">
        <f t="shared" si="6"/>
        <v>77.763265555555563</v>
      </c>
      <c r="N34" s="7">
        <f t="shared" si="6"/>
        <v>74.683628888888933</v>
      </c>
      <c r="O34" s="7">
        <f t="shared" si="6"/>
        <v>71.291427222222225</v>
      </c>
      <c r="P34" s="7">
        <f t="shared" si="6"/>
        <v>67.586847777777805</v>
      </c>
      <c r="Q34" s="7">
        <f t="shared" si="6"/>
        <v>63.570027777777796</v>
      </c>
      <c r="R34" s="7">
        <f t="shared" si="6"/>
        <v>59.24106888888894</v>
      </c>
      <c r="S34" s="7">
        <f t="shared" si="6"/>
        <v>54.600043333333339</v>
      </c>
      <c r="T34" s="7">
        <f t="shared" si="6"/>
        <v>49.647001666666661</v>
      </c>
      <c r="U34" s="7">
        <f t="shared" si="6"/>
        <v>44.381975000000011</v>
      </c>
      <c r="V34" s="7">
        <f t="shared" si="6"/>
        <v>38.804981666666677</v>
      </c>
      <c r="W34" s="7">
        <f t="shared" si="6"/>
        <v>32.918938888888903</v>
      </c>
      <c r="X34" s="7">
        <f t="shared" si="6"/>
        <v>5.5909566666666581</v>
      </c>
      <c r="Y34" s="7">
        <f t="shared" si="6"/>
        <v>0</v>
      </c>
      <c r="AA34" s="7">
        <f>(Z28-$Y28)*t_R_K</f>
        <v>-4.4097263523922141</v>
      </c>
    </row>
    <row r="35" spans="1:41">
      <c r="B35" s="3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41">
      <c r="C36" s="6" t="s">
        <v>122</v>
      </c>
    </row>
    <row r="37" spans="1:41">
      <c r="B37" s="3" t="s">
        <v>119</v>
      </c>
      <c r="C37" s="9">
        <f t="shared" ref="C37:O37" si="7">(C25)*t_ft_m*100</f>
        <v>0</v>
      </c>
      <c r="D37" s="9">
        <f t="shared" si="7"/>
        <v>1.4852917323422801E-2</v>
      </c>
      <c r="E37" s="9">
        <f t="shared" si="7"/>
        <v>3.3212132799357606E-2</v>
      </c>
      <c r="F37" s="9">
        <f t="shared" si="7"/>
        <v>5.3552954999828234E-2</v>
      </c>
      <c r="G37" s="9">
        <f t="shared" si="7"/>
        <v>7.4264586617113867E-2</v>
      </c>
      <c r="H37" s="9">
        <f t="shared" si="7"/>
        <v>9.5105074910194848E-2</v>
      </c>
      <c r="I37" s="9">
        <f t="shared" si="7"/>
        <v>0.11600499271153138</v>
      </c>
      <c r="J37" s="9">
        <f t="shared" si="7"/>
        <v>0.13693713158379225</v>
      </c>
      <c r="K37" s="9">
        <f t="shared" si="7"/>
        <v>0.15788867689247699</v>
      </c>
      <c r="L37" s="9">
        <f t="shared" si="7"/>
        <v>0.17885280872097831</v>
      </c>
      <c r="M37" s="9">
        <f t="shared" si="7"/>
        <v>0.19982556567159876</v>
      </c>
      <c r="N37" s="9">
        <f t="shared" si="7"/>
        <v>0.22080449002824135</v>
      </c>
      <c r="O37" s="9">
        <f t="shared" si="7"/>
        <v>0.24178797643670127</v>
      </c>
      <c r="P37" s="9"/>
    </row>
    <row r="38" spans="1:41">
      <c r="A38" t="s">
        <v>121</v>
      </c>
      <c r="B38" s="3" t="s">
        <v>112</v>
      </c>
      <c r="C38" s="7">
        <f t="shared" ref="C38:Y38" si="8">C31+$AA38-$AA31</f>
        <v>387.28169175344902</v>
      </c>
      <c r="D38" s="7">
        <f t="shared" si="8"/>
        <v>387.203850811113</v>
      </c>
      <c r="E38" s="7">
        <f t="shared" si="8"/>
        <v>386.89248704176879</v>
      </c>
      <c r="F38" s="7">
        <f t="shared" si="8"/>
        <v>386.26975950308037</v>
      </c>
      <c r="G38" s="7">
        <f t="shared" si="8"/>
        <v>385.33566819504773</v>
      </c>
      <c r="H38" s="7">
        <f t="shared" si="8"/>
        <v>384.09021311767083</v>
      </c>
      <c r="I38" s="7">
        <f t="shared" si="8"/>
        <v>382.53339427094977</v>
      </c>
      <c r="J38" s="7">
        <f t="shared" si="8"/>
        <v>380.6652116548845</v>
      </c>
      <c r="K38" s="7">
        <f t="shared" si="8"/>
        <v>378.48566526947502</v>
      </c>
      <c r="L38" s="7">
        <f t="shared" si="8"/>
        <v>375.99475511472127</v>
      </c>
      <c r="M38" s="7">
        <f t="shared" si="8"/>
        <v>373.19248119062337</v>
      </c>
      <c r="N38" s="7">
        <f t="shared" si="8"/>
        <v>370.07884349718131</v>
      </c>
      <c r="O38" s="7">
        <f t="shared" si="8"/>
        <v>366.65384203439493</v>
      </c>
      <c r="P38" s="7">
        <f t="shared" si="8"/>
        <v>362.91747680226439</v>
      </c>
      <c r="Q38" s="7">
        <f t="shared" si="8"/>
        <v>358.86974780078964</v>
      </c>
      <c r="R38" s="7">
        <f t="shared" si="8"/>
        <v>354.51065502997062</v>
      </c>
      <c r="S38" s="7">
        <f t="shared" si="8"/>
        <v>349.84019848980768</v>
      </c>
      <c r="T38" s="7">
        <f t="shared" si="8"/>
        <v>344.85837818030024</v>
      </c>
      <c r="U38" s="7">
        <f t="shared" si="8"/>
        <v>339.56519410144807</v>
      </c>
      <c r="V38" s="7">
        <f t="shared" si="8"/>
        <v>333.96064625325249</v>
      </c>
      <c r="W38" s="7">
        <f t="shared" si="8"/>
        <v>328.08404354352967</v>
      </c>
      <c r="X38" s="7">
        <f t="shared" si="8"/>
        <v>300.71233914024367</v>
      </c>
      <c r="Y38" s="7">
        <f t="shared" si="8"/>
        <v>294.8982804618102</v>
      </c>
      <c r="AA38" s="7">
        <f>5/9*(Z25-32)</f>
        <v>290.93455198094114</v>
      </c>
      <c r="AB38" s="7"/>
      <c r="AC38" s="5" t="s">
        <v>123</v>
      </c>
      <c r="AD38" s="9"/>
      <c r="AE38" s="3"/>
      <c r="AF38" s="3"/>
      <c r="AG38" s="3"/>
      <c r="AH38" s="3"/>
      <c r="AI38" s="3"/>
      <c r="AJ38" s="3"/>
      <c r="AK38" s="3"/>
    </row>
    <row r="39" spans="1:41">
      <c r="A39" t="s">
        <v>121</v>
      </c>
      <c r="B39" s="3" t="s">
        <v>105</v>
      </c>
      <c r="C39" s="7">
        <f t="shared" ref="C39:Y39" si="9">C32+$AA39-$AA32</f>
        <v>386.82637703703705</v>
      </c>
      <c r="D39" s="7">
        <f t="shared" si="9"/>
        <v>386.73518388888891</v>
      </c>
      <c r="E39" s="7">
        <f t="shared" si="9"/>
        <v>386.46160444444445</v>
      </c>
      <c r="F39" s="7">
        <f t="shared" si="9"/>
        <v>385.90368888888889</v>
      </c>
      <c r="G39" s="7">
        <f t="shared" si="9"/>
        <v>385.02730444444444</v>
      </c>
      <c r="H39" s="7">
        <f t="shared" si="9"/>
        <v>383.83269388888891</v>
      </c>
      <c r="I39" s="7">
        <f t="shared" si="9"/>
        <v>382.32150722222224</v>
      </c>
      <c r="J39" s="7">
        <f t="shared" si="9"/>
        <v>380.4950316666667</v>
      </c>
      <c r="K39" s="7">
        <f t="shared" si="9"/>
        <v>378.35417944444441</v>
      </c>
      <c r="L39" s="7">
        <f t="shared" si="9"/>
        <v>375.89960111111111</v>
      </c>
      <c r="M39" s="7">
        <f t="shared" si="9"/>
        <v>373.13176777777784</v>
      </c>
      <c r="N39" s="7">
        <f t="shared" si="9"/>
        <v>370.05102611111113</v>
      </c>
      <c r="O39" s="7">
        <f t="shared" si="9"/>
        <v>366.65763500000003</v>
      </c>
      <c r="P39" s="7">
        <f t="shared" si="9"/>
        <v>362.95178888888893</v>
      </c>
      <c r="Q39" s="7">
        <f t="shared" si="9"/>
        <v>358.9336327777778</v>
      </c>
      <c r="R39" s="7">
        <f t="shared" si="9"/>
        <v>354.60327666666666</v>
      </c>
      <c r="S39" s="7">
        <f t="shared" si="9"/>
        <v>349.96080166666667</v>
      </c>
      <c r="T39" s="7">
        <f t="shared" si="9"/>
        <v>345.00626611111107</v>
      </c>
      <c r="U39" s="7">
        <f t="shared" si="9"/>
        <v>339.73971222222224</v>
      </c>
      <c r="V39" s="7">
        <f t="shared" si="9"/>
        <v>334.16116611111113</v>
      </c>
      <c r="W39" s="7">
        <f t="shared" si="9"/>
        <v>328.27355611111108</v>
      </c>
      <c r="X39" s="7">
        <f t="shared" si="9"/>
        <v>300.93825222222222</v>
      </c>
      <c r="Y39" s="7">
        <f t="shared" si="9"/>
        <v>295.34576000000004</v>
      </c>
      <c r="AA39" s="7">
        <f>5/9*(Z26-32)</f>
        <v>290.93455198094114</v>
      </c>
      <c r="AB39" s="3" t="s">
        <v>105</v>
      </c>
      <c r="AC39" s="16">
        <f t="shared" ref="AC39:AO41" si="10">(C39-C$38)/C$38</f>
        <v>-1.1756680630847856E-3</v>
      </c>
      <c r="AD39" s="16">
        <f t="shared" si="10"/>
        <v>-1.2103880714056084E-3</v>
      </c>
      <c r="AE39" s="16">
        <f t="shared" si="10"/>
        <v>-1.1137011230663251E-3</v>
      </c>
      <c r="AF39" s="16">
        <f t="shared" si="10"/>
        <v>-9.4770715331794514E-4</v>
      </c>
      <c r="AG39" s="16">
        <f t="shared" si="10"/>
        <v>-8.0024709897139621E-4</v>
      </c>
      <c r="AH39" s="16">
        <f t="shared" si="10"/>
        <v>-6.7046547916861947E-4</v>
      </c>
      <c r="AI39" s="16">
        <f t="shared" si="10"/>
        <v>-5.5390470976098027E-4</v>
      </c>
      <c r="AJ39" s="16">
        <f t="shared" si="10"/>
        <v>-4.4705947117669296E-4</v>
      </c>
      <c r="AK39" s="16">
        <f t="shared" si="10"/>
        <v>-3.4739974877778589E-4</v>
      </c>
      <c r="AL39" s="16">
        <f t="shared" si="10"/>
        <v>-2.5307268868984378E-4</v>
      </c>
      <c r="AM39" s="16">
        <f t="shared" si="10"/>
        <v>-1.6268659178725022E-4</v>
      </c>
      <c r="AN39" s="16">
        <f t="shared" si="10"/>
        <v>-7.5166107328139016E-5</v>
      </c>
      <c r="AO39" s="16">
        <f t="shared" si="10"/>
        <v>1.0344813473261663E-5</v>
      </c>
    </row>
    <row r="40" spans="1:41">
      <c r="A40" t="s">
        <v>121</v>
      </c>
      <c r="B40" s="3" t="s">
        <v>106</v>
      </c>
      <c r="C40" s="7">
        <f t="shared" ref="C40:Y40" si="11">C33+$AA40-$AA33</f>
        <v>386.98870907407411</v>
      </c>
      <c r="D40" s="7">
        <f t="shared" si="11"/>
        <v>386.89731611111119</v>
      </c>
      <c r="E40" s="7">
        <f t="shared" si="11"/>
        <v>386.62313722222228</v>
      </c>
      <c r="F40" s="7">
        <f t="shared" si="11"/>
        <v>386.06400222222226</v>
      </c>
      <c r="G40" s="7">
        <f t="shared" si="11"/>
        <v>385.18571166666675</v>
      </c>
      <c r="H40" s="7">
        <f t="shared" si="11"/>
        <v>383.98852055555562</v>
      </c>
      <c r="I40" s="7">
        <f t="shared" si="11"/>
        <v>382.47409944444451</v>
      </c>
      <c r="J40" s="7">
        <f t="shared" si="11"/>
        <v>380.64375833333338</v>
      </c>
      <c r="K40" s="7">
        <f t="shared" si="11"/>
        <v>378.49843666666675</v>
      </c>
      <c r="L40" s="7">
        <f t="shared" si="11"/>
        <v>376.03881388888897</v>
      </c>
      <c r="M40" s="7">
        <f t="shared" si="11"/>
        <v>373.26539388888892</v>
      </c>
      <c r="N40" s="7">
        <f t="shared" si="11"/>
        <v>370.17855944444455</v>
      </c>
      <c r="O40" s="7">
        <f t="shared" si="11"/>
        <v>366.77860777777784</v>
      </c>
      <c r="P40" s="7">
        <f t="shared" si="11"/>
        <v>363.06577388888888</v>
      </c>
      <c r="Q40" s="7">
        <f t="shared" si="11"/>
        <v>359.04024833333341</v>
      </c>
      <c r="R40" s="7">
        <f t="shared" si="11"/>
        <v>354.70218611111113</v>
      </c>
      <c r="S40" s="7">
        <f t="shared" si="11"/>
        <v>350.05171611111115</v>
      </c>
      <c r="T40" s="7">
        <f t="shared" si="11"/>
        <v>345.08894555555565</v>
      </c>
      <c r="U40" s="7">
        <f t="shared" si="11"/>
        <v>339.81396666666672</v>
      </c>
      <c r="V40" s="7">
        <f t="shared" si="11"/>
        <v>334.22685777777781</v>
      </c>
      <c r="W40" s="7">
        <f t="shared" si="11"/>
        <v>328.33060000000006</v>
      </c>
      <c r="X40" s="7">
        <f t="shared" si="11"/>
        <v>300.95491500000003</v>
      </c>
      <c r="Y40" s="7">
        <f t="shared" si="11"/>
        <v>295.35395166666672</v>
      </c>
      <c r="AA40" s="7">
        <f>5/9*(Z27-32)</f>
        <v>290.93455198094114</v>
      </c>
      <c r="AB40" s="3" t="s">
        <v>106</v>
      </c>
      <c r="AC40" s="16">
        <f t="shared" si="10"/>
        <v>-7.5651053384014381E-4</v>
      </c>
      <c r="AD40" s="16">
        <f t="shared" si="10"/>
        <v>-7.9166232298485007E-4</v>
      </c>
      <c r="AE40" s="16">
        <f t="shared" si="10"/>
        <v>-6.9618777455718978E-4</v>
      </c>
      <c r="AF40" s="16">
        <f t="shared" si="10"/>
        <v>-5.326776839139738E-4</v>
      </c>
      <c r="AG40" s="16">
        <f t="shared" si="10"/>
        <v>-3.8915818274335952E-4</v>
      </c>
      <c r="AH40" s="16">
        <f t="shared" si="10"/>
        <v>-2.6476217993101864E-4</v>
      </c>
      <c r="AI40" s="16">
        <f t="shared" si="10"/>
        <v>-1.5500562145240261E-4</v>
      </c>
      <c r="AJ40" s="16">
        <f t="shared" si="10"/>
        <v>-5.6357452412990232E-5</v>
      </c>
      <c r="AK40" s="16">
        <f t="shared" si="10"/>
        <v>3.3743410553301586E-5</v>
      </c>
      <c r="AL40" s="16">
        <f t="shared" si="10"/>
        <v>1.1717922542364199E-4</v>
      </c>
      <c r="AM40" s="16">
        <f t="shared" si="10"/>
        <v>1.9537558214714193E-4</v>
      </c>
      <c r="AN40" s="16">
        <f t="shared" si="10"/>
        <v>2.6944514396158456E-4</v>
      </c>
      <c r="AO40" s="16">
        <f t="shared" si="10"/>
        <v>3.4028211102504974E-4</v>
      </c>
    </row>
    <row r="41" spans="1:41">
      <c r="A41" t="s">
        <v>121</v>
      </c>
      <c r="B41" s="3" t="s">
        <v>107</v>
      </c>
      <c r="C41" s="7">
        <f t="shared" ref="C41:Y41" si="12">C34+$AA41-$AA34</f>
        <v>386.79694796296303</v>
      </c>
      <c r="D41" s="7">
        <f t="shared" si="12"/>
        <v>386.70579111111118</v>
      </c>
      <c r="E41" s="7">
        <f t="shared" si="12"/>
        <v>386.43232055555563</v>
      </c>
      <c r="F41" s="7">
        <f t="shared" si="12"/>
        <v>385.87462611111118</v>
      </c>
      <c r="G41" s="7">
        <f t="shared" si="12"/>
        <v>384.99858722222234</v>
      </c>
      <c r="H41" s="7">
        <f t="shared" si="12"/>
        <v>383.80444444444447</v>
      </c>
      <c r="I41" s="7">
        <f t="shared" si="12"/>
        <v>382.29384500000003</v>
      </c>
      <c r="J41" s="7">
        <f t="shared" si="12"/>
        <v>380.46807000000007</v>
      </c>
      <c r="K41" s="7">
        <f t="shared" si="12"/>
        <v>378.32802777777783</v>
      </c>
      <c r="L41" s="7">
        <f t="shared" si="12"/>
        <v>375.8743644444445</v>
      </c>
      <c r="M41" s="7">
        <f t="shared" si="12"/>
        <v>373.10754388888893</v>
      </c>
      <c r="N41" s="7">
        <f t="shared" si="12"/>
        <v>370.02790722222232</v>
      </c>
      <c r="O41" s="7">
        <f t="shared" si="12"/>
        <v>366.6357055555556</v>
      </c>
      <c r="P41" s="7">
        <f t="shared" si="12"/>
        <v>362.93112611111115</v>
      </c>
      <c r="Q41" s="7">
        <f t="shared" si="12"/>
        <v>358.91430611111116</v>
      </c>
      <c r="R41" s="7">
        <f t="shared" si="12"/>
        <v>354.58534722222231</v>
      </c>
      <c r="S41" s="7">
        <f t="shared" si="12"/>
        <v>349.94432166666672</v>
      </c>
      <c r="T41" s="7">
        <f t="shared" si="12"/>
        <v>344.99128000000002</v>
      </c>
      <c r="U41" s="7">
        <f t="shared" si="12"/>
        <v>339.72625333333337</v>
      </c>
      <c r="V41" s="7">
        <f t="shared" si="12"/>
        <v>334.14926000000003</v>
      </c>
      <c r="W41" s="7">
        <f t="shared" si="12"/>
        <v>328.26321722222224</v>
      </c>
      <c r="X41" s="7">
        <f t="shared" si="12"/>
        <v>300.93523500000003</v>
      </c>
      <c r="Y41" s="7">
        <f t="shared" si="12"/>
        <v>295.34427833333336</v>
      </c>
      <c r="AA41" s="7">
        <f>5/9*(Z28-32)</f>
        <v>290.93455198094114</v>
      </c>
      <c r="AB41" s="3" t="s">
        <v>107</v>
      </c>
      <c r="AC41" s="16">
        <f t="shared" si="10"/>
        <v>-1.2516568709749136E-3</v>
      </c>
      <c r="AD41" s="16">
        <f t="shared" si="10"/>
        <v>-1.2862984160887979E-3</v>
      </c>
      <c r="AE41" s="16">
        <f t="shared" si="10"/>
        <v>-1.1893911141352166E-3</v>
      </c>
      <c r="AF41" s="16">
        <f t="shared" si="10"/>
        <v>-1.0229467418767244E-3</v>
      </c>
      <c r="AG41" s="16">
        <f t="shared" si="10"/>
        <v>-8.7477231060470613E-4</v>
      </c>
      <c r="AH41" s="16">
        <f t="shared" si="10"/>
        <v>-7.4401446188062216E-4</v>
      </c>
      <c r="AI41" s="16">
        <f t="shared" si="10"/>
        <v>-6.262179316560895E-4</v>
      </c>
      <c r="AJ41" s="16">
        <f t="shared" si="10"/>
        <v>-5.1788723752136312E-4</v>
      </c>
      <c r="AK41" s="16">
        <f t="shared" si="10"/>
        <v>-4.1649527620802267E-4</v>
      </c>
      <c r="AL41" s="16">
        <f t="shared" si="10"/>
        <v>-3.2019241928000797E-4</v>
      </c>
      <c r="AM41" s="16">
        <f t="shared" si="10"/>
        <v>-2.2759649782723437E-4</v>
      </c>
      <c r="AN41" s="16">
        <f t="shared" si="10"/>
        <v>-1.3763627900921442E-4</v>
      </c>
      <c r="AO41" s="16">
        <f t="shared" si="10"/>
        <v>-4.9464854203334815E-5</v>
      </c>
    </row>
    <row r="42" spans="1:41">
      <c r="Q42" s="3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</row>
    <row r="44" spans="1:41">
      <c r="A44">
        <v>0</v>
      </c>
      <c r="B44" s="11">
        <v>4.8729883837070098E-4</v>
      </c>
      <c r="C44" s="11">
        <v>1.0896333279535699E-3</v>
      </c>
      <c r="D44" s="11">
        <v>1.7569809482196001E-3</v>
      </c>
      <c r="E44" s="11">
        <v>2.4364941918535001E-3</v>
      </c>
      <c r="F44" s="11">
        <v>3.1202350028443101E-3</v>
      </c>
      <c r="G44" s="11">
        <v>3.80592559445446E-3</v>
      </c>
      <c r="H44" s="11">
        <v>4.4926733043458601E-3</v>
      </c>
      <c r="I44" s="11">
        <v>5.1800577062567701E-3</v>
      </c>
      <c r="J44" s="11">
        <v>5.86785505037642E-3</v>
      </c>
      <c r="K44" s="11">
        <v>6.5559353700151502E-3</v>
      </c>
      <c r="L44" s="11">
        <v>7.2442180317072898E-3</v>
      </c>
      <c r="M44" s="11">
        <v>7.93265036652443E-3</v>
      </c>
      <c r="N44" s="11">
        <v>8.6211965187923296E-3</v>
      </c>
      <c r="O44" s="11">
        <v>9.3098312350581094E-3</v>
      </c>
      <c r="P44" s="11">
        <v>9.9985362161868502E-3</v>
      </c>
      <c r="Q44" s="11">
        <v>1.0687297878278001E-2</v>
      </c>
      <c r="R44" s="11">
        <v>1.1376105926159501E-2</v>
      </c>
      <c r="S44" s="11">
        <v>1.2064952415110001E-2</v>
      </c>
      <c r="T44" s="11">
        <v>1.2753831116415299E-2</v>
      </c>
      <c r="U44" s="11">
        <v>1.3438320209973801E-2</v>
      </c>
      <c r="V44" s="11">
        <v>1.3713910761154901E-2</v>
      </c>
      <c r="W44" s="11">
        <v>1.55839895013123E-2</v>
      </c>
    </row>
    <row r="45" spans="1:41">
      <c r="C45" s="3"/>
      <c r="D45" s="3" t="s">
        <v>124</v>
      </c>
    </row>
    <row r="46" spans="1:41">
      <c r="A46">
        <v>679.15262399999995</v>
      </c>
      <c r="B46" s="7">
        <v>678.65910199999996</v>
      </c>
      <c r="C46" s="7">
        <v>677.65265799999997</v>
      </c>
      <c r="D46" s="7">
        <v>676.07173599999999</v>
      </c>
      <c r="E46" s="7">
        <v>673.91679099999999</v>
      </c>
      <c r="F46" s="7">
        <v>671.190834</v>
      </c>
      <c r="G46" s="7">
        <v>667.89621999999997</v>
      </c>
      <c r="H46" s="7">
        <v>664.03463999999997</v>
      </c>
      <c r="I46" s="7">
        <v>659.60731899999996</v>
      </c>
      <c r="J46" s="7">
        <v>654.61516300000005</v>
      </c>
      <c r="K46" s="7">
        <v>649.05886099999998</v>
      </c>
      <c r="L46" s="7">
        <v>642.93894799999998</v>
      </c>
      <c r="M46" s="7">
        <v>636.25584800000001</v>
      </c>
      <c r="N46" s="7">
        <v>629.00990200000001</v>
      </c>
      <c r="O46" s="7">
        <v>621.20138999999995</v>
      </c>
      <c r="P46" s="7">
        <v>612.83054300000003</v>
      </c>
      <c r="Q46">
        <v>603.89755700000001</v>
      </c>
      <c r="R46">
        <v>594.40259500000002</v>
      </c>
      <c r="S46">
        <v>584.34579900000006</v>
      </c>
      <c r="T46">
        <v>573.73253499999998</v>
      </c>
      <c r="U46">
        <v>573.71884699999998</v>
      </c>
      <c r="V46">
        <v>563.637113</v>
      </c>
    </row>
  </sheetData>
  <mergeCells count="1">
    <mergeCell ref="B1:E2"/>
  </mergeCells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N11"/>
  <sheetViews>
    <sheetView tabSelected="1" topLeftCell="H2" zoomScale="90" zoomScaleNormal="90" zoomScalePageLayoutView="90" workbookViewId="0">
      <selection activeCell="Z30" sqref="Z30"/>
    </sheetView>
  </sheetViews>
  <sheetFormatPr baseColWidth="10" defaultColWidth="8.83203125" defaultRowHeight="12" x14ac:dyDescent="0"/>
  <cols>
    <col min="7" max="7" width="15.5" bestFit="1" customWidth="1"/>
    <col min="12" max="12" width="15.5" bestFit="1" customWidth="1"/>
    <col min="13" max="13" width="9.1640625" bestFit="1" customWidth="1"/>
    <col min="14" max="14" width="11.33203125" bestFit="1" customWidth="1"/>
  </cols>
  <sheetData>
    <row r="7" spans="4:14">
      <c r="E7" s="3"/>
      <c r="F7" s="1" t="s">
        <v>125</v>
      </c>
      <c r="G7" s="1"/>
      <c r="H7" s="1"/>
      <c r="I7" s="1"/>
      <c r="J7" s="17"/>
      <c r="K7" s="23" t="s">
        <v>126</v>
      </c>
      <c r="L7" s="24"/>
      <c r="M7" s="24"/>
      <c r="N7" s="25"/>
    </row>
    <row r="8" spans="4:14">
      <c r="E8" s="3" t="s">
        <v>127</v>
      </c>
      <c r="F8" s="3" t="s">
        <v>128</v>
      </c>
      <c r="G8" s="3" t="s">
        <v>105</v>
      </c>
      <c r="H8" s="3" t="s">
        <v>106</v>
      </c>
      <c r="I8" s="3" t="s">
        <v>107</v>
      </c>
      <c r="J8" s="3"/>
      <c r="K8" s="20" t="s">
        <v>129</v>
      </c>
      <c r="L8" s="21" t="s">
        <v>105</v>
      </c>
      <c r="M8" s="21" t="s">
        <v>106</v>
      </c>
      <c r="N8" s="21" t="s">
        <v>107</v>
      </c>
    </row>
    <row r="9" spans="4:14">
      <c r="D9">
        <v>6</v>
      </c>
      <c r="E9" s="3">
        <v>5</v>
      </c>
      <c r="F9" s="7">
        <f>'SS Rod Radial Profile_10'!$C$31</f>
        <v>92.383411291638822</v>
      </c>
      <c r="G9" s="7">
        <f>'SS Rod Radial Profile_5'!C32</f>
        <v>88.266274629629606</v>
      </c>
      <c r="H9">
        <f>'SS Rod Radial Profile_5'!C33</f>
        <v>88.448237037036961</v>
      </c>
      <c r="I9">
        <f>'SS Rod Radial Profile_5'!C34</f>
        <v>88.235733518518558</v>
      </c>
      <c r="K9" s="19">
        <f>E9</f>
        <v>5</v>
      </c>
      <c r="L9" s="22">
        <f>ABS(G9-$F9)/$F9</f>
        <v>4.4565757038480758E-2</v>
      </c>
      <c r="M9" s="22">
        <f t="shared" ref="L9:N11" si="0">ABS(H9-$F9)/$F9</f>
        <v>4.2596113301977788E-2</v>
      </c>
      <c r="N9" s="22">
        <f t="shared" si="0"/>
        <v>4.4896347895476023E-2</v>
      </c>
    </row>
    <row r="10" spans="4:14">
      <c r="D10">
        <v>12</v>
      </c>
      <c r="E10" s="3">
        <v>10</v>
      </c>
      <c r="F10" s="7">
        <f>F9</f>
        <v>92.383411291638822</v>
      </c>
      <c r="G10" s="7">
        <f>'SS Rod Radial Profile_10'!C32</f>
        <v>90.474413148148187</v>
      </c>
      <c r="H10">
        <f>'SS Rod Radial Profile_10'!C33</f>
        <v>90.635888703703756</v>
      </c>
      <c r="I10">
        <f>'SS Rod Radial Profile_10'!C34</f>
        <v>90.445768148148133</v>
      </c>
      <c r="K10" s="19">
        <f t="shared" ref="K10:K11" si="1">E10</f>
        <v>10</v>
      </c>
      <c r="L10" s="22">
        <f t="shared" si="0"/>
        <v>2.0663862881878763E-2</v>
      </c>
      <c r="M10" s="22">
        <f t="shared" si="0"/>
        <v>1.8915978133979404E-2</v>
      </c>
      <c r="N10" s="22">
        <f t="shared" si="0"/>
        <v>2.0973929371084568E-2</v>
      </c>
    </row>
    <row r="11" spans="4:14">
      <c r="D11">
        <v>48</v>
      </c>
      <c r="E11" s="3">
        <v>20</v>
      </c>
      <c r="F11" s="7">
        <f>F10</f>
        <v>92.383411291638822</v>
      </c>
      <c r="G11" s="7">
        <f>'SS Rod Radial Profile_20'!C32</f>
        <v>91.480617037036993</v>
      </c>
      <c r="H11">
        <f>'SS Rod Radial Profile_20'!C34</f>
        <v>91.452669629629654</v>
      </c>
      <c r="I11">
        <f>'SS Rod Radial Profile_20'!C34</f>
        <v>91.452669629629654</v>
      </c>
      <c r="K11" s="19">
        <f t="shared" si="1"/>
        <v>20</v>
      </c>
      <c r="L11" s="22">
        <f t="shared" si="0"/>
        <v>9.7722550182939294E-3</v>
      </c>
      <c r="M11" s="22">
        <f t="shared" si="0"/>
        <v>1.0074770448462597E-2</v>
      </c>
      <c r="N11" s="22">
        <f t="shared" si="0"/>
        <v>1.0074770448462597E-2</v>
      </c>
    </row>
  </sheetData>
  <mergeCells count="2">
    <mergeCell ref="F7:I7"/>
    <mergeCell ref="K7:N7"/>
  </mergeCells>
  <pageMargins left="0.78749999999999998" right="0.78749999999999998" top="1.0249999999999999" bottom="1.0249999999999999" header="0.78749999999999998" footer="0.78749999999999998"/>
  <pageSetup orientation="portrait" horizontalDpi="4294967292" verticalDpi="4294967292"/>
  <headerFooter>
    <oddHeader>&amp;C&amp;A</oddHeader>
    <oddFooter>&amp;CPage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423702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Problem_Setup</vt:lpstr>
      <vt:lpstr>SS Rod Radial Profile_5</vt:lpstr>
      <vt:lpstr>SS Rod Radial Profile_10</vt:lpstr>
      <vt:lpstr>SS Rod Radial Profile_20</vt:lpstr>
      <vt:lpstr>Fuel_Centerline_Temperature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Dances</cp:lastModifiedBy>
  <cp:revision>698</cp:revision>
  <dcterms:created xsi:type="dcterms:W3CDTF">2015-03-08T19:04:55Z</dcterms:created>
  <dcterms:modified xsi:type="dcterms:W3CDTF">2015-03-23T17:56:37Z</dcterms:modified>
  <dc:language>en-US</dc:language>
</cp:coreProperties>
</file>