
<file path=[Content_Types].xml><?xml version="1.0" encoding="utf-8"?>
<Types xmlns="http://schemas.openxmlformats.org/package/2006/content-types">
  <Default Extension="bin" ContentType="application/vnd.openxmlformats-officedocument.spreadsheetml.printerSettings"/>
  <Default Extension="jfif"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codeName="ThisWorkbook"/>
  <mc:AlternateContent xmlns:mc="http://schemas.openxmlformats.org/markup-compatibility/2006">
    <mc:Choice Requires="x15">
      <x15ac:absPath xmlns:x15ac="http://schemas.microsoft.com/office/spreadsheetml/2010/11/ac" url="C:\Data\"/>
    </mc:Choice>
  </mc:AlternateContent>
  <xr:revisionPtr revIDLastSave="0" documentId="13_ncr:1_{7B4EB478-9D1D-4398-AFDA-DC7CAE05CB67}" xr6:coauthVersionLast="45" xr6:coauthVersionMax="45" xr10:uidLastSave="{00000000-0000-0000-0000-000000000000}"/>
  <bookViews>
    <workbookView xWindow="384" yWindow="384" windowWidth="20832" windowHeight="12360" xr2:uid="{00000000-000D-0000-FFFF-FFFF00000000}"/>
  </bookViews>
  <sheets>
    <sheet name="Home" sheetId="25" r:id="rId1"/>
    <sheet name="Argentina DT" sheetId="35" r:id="rId2"/>
    <sheet name="Andina DT" sheetId="18" r:id="rId3"/>
    <sheet name="Andina Support" sheetId="26" r:id="rId4"/>
    <sheet name="Arca DT" sheetId="19" r:id="rId5"/>
    <sheet name="Arca Support" sheetId="27" r:id="rId6"/>
    <sheet name="Femsa DT" sheetId="20" r:id="rId7"/>
    <sheet name="Femsa Support" sheetId="28" r:id="rId8"/>
    <sheet name="RLee DT" sheetId="21" r:id="rId9"/>
    <sheet name="RLee Support" sheetId="29" r:id="rId10"/>
    <sheet name="Bolivia DT" sheetId="22" r:id="rId11"/>
    <sheet name="Bolivia Support" sheetId="30" r:id="rId12"/>
    <sheet name="Chile DT" sheetId="23" r:id="rId13"/>
    <sheet name="Chile Support" sheetId="31" r:id="rId14"/>
    <sheet name="Peru DT" sheetId="24" r:id="rId15"/>
    <sheet name="Peru Support" sheetId="32" r:id="rId16"/>
    <sheet name="Uruguay DT" sheetId="33" r:id="rId17"/>
    <sheet name="Uruguay Support" sheetId="36" r:id="rId18"/>
    <sheet name="Paraguay DT" sheetId="34" r:id="rId19"/>
    <sheet name="Paraguay Support" sheetId="38" r:id="rId20"/>
  </sheets>
  <externalReferences>
    <externalReference r:id="rId21"/>
    <externalReference r:id="rId22"/>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9" i="38" l="1"/>
  <c r="F39" i="38"/>
  <c r="I39" i="38"/>
  <c r="H39" i="38"/>
  <c r="I38" i="38"/>
  <c r="H38" i="38"/>
  <c r="I37" i="38"/>
  <c r="H37" i="38"/>
  <c r="I36" i="38"/>
  <c r="H36" i="38"/>
  <c r="I35" i="38"/>
  <c r="H35" i="38"/>
  <c r="I34" i="38"/>
  <c r="H34" i="38"/>
  <c r="I33" i="38"/>
  <c r="H33" i="38"/>
  <c r="I32" i="38"/>
  <c r="H32" i="38"/>
  <c r="I31" i="38"/>
  <c r="H31" i="38"/>
  <c r="I30" i="38"/>
  <c r="H30" i="38"/>
  <c r="I29" i="38"/>
  <c r="H29" i="38"/>
  <c r="I28" i="38"/>
  <c r="H28" i="38"/>
  <c r="I27" i="38"/>
  <c r="H27" i="38"/>
  <c r="G22" i="38"/>
  <c r="F22" i="38"/>
  <c r="I22" i="38"/>
  <c r="H22" i="38"/>
  <c r="I21" i="38"/>
  <c r="H21" i="38"/>
  <c r="I20" i="38"/>
  <c r="H20" i="38"/>
  <c r="I19" i="38"/>
  <c r="H19" i="38"/>
  <c r="I18" i="38"/>
  <c r="H18" i="38"/>
  <c r="I17" i="38"/>
  <c r="H17" i="38"/>
  <c r="I16" i="38"/>
  <c r="H16" i="38"/>
  <c r="I15" i="38"/>
  <c r="H15" i="38"/>
  <c r="I14" i="38"/>
  <c r="H14" i="38"/>
  <c r="I13" i="38"/>
  <c r="H13" i="38"/>
  <c r="I12" i="38"/>
  <c r="H12" i="38"/>
  <c r="I11" i="38"/>
  <c r="H11" i="38"/>
  <c r="I10" i="38"/>
  <c r="H10" i="38"/>
  <c r="H36" i="21"/>
  <c r="H16" i="21"/>
  <c r="H20" i="21"/>
  <c r="H19" i="21"/>
  <c r="AQ39" i="38"/>
  <c r="AP39" i="38"/>
  <c r="AS39" i="38"/>
  <c r="AR39" i="38"/>
  <c r="AS38" i="38"/>
  <c r="AR38" i="38"/>
  <c r="AS37" i="38"/>
  <c r="AR37" i="38"/>
  <c r="AS36" i="38"/>
  <c r="AR36" i="38"/>
  <c r="AS35" i="38"/>
  <c r="AR35" i="38"/>
  <c r="AS34" i="38"/>
  <c r="AR34" i="38"/>
  <c r="AS33" i="38"/>
  <c r="AR33" i="38"/>
  <c r="AS32" i="38"/>
  <c r="AR32" i="38"/>
  <c r="AS31" i="38"/>
  <c r="AR31" i="38"/>
  <c r="AS30" i="38"/>
  <c r="AR30" i="38"/>
  <c r="AS29" i="38"/>
  <c r="AR29" i="38"/>
  <c r="AS28" i="38"/>
  <c r="AR28" i="38"/>
  <c r="AS27" i="38"/>
  <c r="AR27" i="38"/>
  <c r="AQ22" i="38"/>
  <c r="AP22" i="38"/>
  <c r="AS22" i="38"/>
  <c r="AR22" i="38"/>
  <c r="AS21" i="38"/>
  <c r="AR21" i="38"/>
  <c r="AS20" i="38"/>
  <c r="AR20" i="38"/>
  <c r="AS19" i="38"/>
  <c r="AR19" i="38"/>
  <c r="AS18" i="38"/>
  <c r="AR18" i="38"/>
  <c r="AS17" i="38"/>
  <c r="AR17" i="38"/>
  <c r="AS16" i="38"/>
  <c r="AR16" i="38"/>
  <c r="AS15" i="38"/>
  <c r="AR15" i="38"/>
  <c r="AS14" i="38"/>
  <c r="AR14" i="38"/>
  <c r="AS13" i="38"/>
  <c r="AR13" i="38"/>
  <c r="AS12" i="38"/>
  <c r="AR12" i="38"/>
  <c r="AS11" i="38"/>
  <c r="AR11" i="38"/>
  <c r="AS10" i="38"/>
  <c r="AR10" i="38"/>
  <c r="AE39" i="38"/>
  <c r="AD39" i="38"/>
  <c r="AG39" i="38"/>
  <c r="AF39" i="38"/>
  <c r="AG38" i="38"/>
  <c r="AF38" i="38"/>
  <c r="AG37" i="38"/>
  <c r="AF37" i="38"/>
  <c r="AG36" i="38"/>
  <c r="AF36" i="38"/>
  <c r="AG35" i="38"/>
  <c r="AF35" i="38"/>
  <c r="AG34" i="38"/>
  <c r="AF34" i="38"/>
  <c r="AG33" i="38"/>
  <c r="AF33" i="38"/>
  <c r="AG32" i="38"/>
  <c r="AF32" i="38"/>
  <c r="AG31" i="38"/>
  <c r="AF31" i="38"/>
  <c r="AG30" i="38"/>
  <c r="AF30" i="38"/>
  <c r="AG29" i="38"/>
  <c r="AF29" i="38"/>
  <c r="AG28" i="38"/>
  <c r="AF28" i="38"/>
  <c r="AG27" i="38"/>
  <c r="AF27" i="38"/>
  <c r="AE22" i="38"/>
  <c r="AD22" i="38"/>
  <c r="AG22" i="38"/>
  <c r="AF22" i="38"/>
  <c r="AG21" i="38"/>
  <c r="AF21" i="38"/>
  <c r="AG20" i="38"/>
  <c r="AF20" i="38"/>
  <c r="AG19" i="38"/>
  <c r="AF19" i="38"/>
  <c r="AG18" i="38"/>
  <c r="AF18" i="38"/>
  <c r="AG17" i="38"/>
  <c r="AF17" i="38"/>
  <c r="AG16" i="38"/>
  <c r="AF16" i="38"/>
  <c r="AG15" i="38"/>
  <c r="AF15" i="38"/>
  <c r="AG14" i="38"/>
  <c r="AF14" i="38"/>
  <c r="AG13" i="38"/>
  <c r="AF13" i="38"/>
  <c r="AG12" i="38"/>
  <c r="AF12" i="38"/>
  <c r="AG11" i="38"/>
  <c r="AF11" i="38"/>
  <c r="AG10" i="38"/>
  <c r="AF10" i="38"/>
  <c r="W39" i="38"/>
  <c r="V39" i="38"/>
  <c r="Y39" i="38"/>
  <c r="X39" i="38"/>
  <c r="Y38" i="38"/>
  <c r="X38" i="38"/>
  <c r="Y37" i="38"/>
  <c r="X37" i="38"/>
  <c r="Y36" i="38"/>
  <c r="X36" i="38"/>
  <c r="Y35" i="38"/>
  <c r="X35" i="38"/>
  <c r="Y34" i="38"/>
  <c r="X34" i="38"/>
  <c r="Y33" i="38"/>
  <c r="X33" i="38"/>
  <c r="Y32" i="38"/>
  <c r="X32" i="38"/>
  <c r="Y31" i="38"/>
  <c r="X31" i="38"/>
  <c r="Y30" i="38"/>
  <c r="X30" i="38"/>
  <c r="Y29" i="38"/>
  <c r="X29" i="38"/>
  <c r="Y28" i="38"/>
  <c r="X28" i="38"/>
  <c r="Y27" i="38"/>
  <c r="X27" i="38"/>
  <c r="W22" i="38"/>
  <c r="V22" i="38"/>
  <c r="Y22" i="38"/>
  <c r="X22" i="38"/>
  <c r="Y21" i="38"/>
  <c r="X21" i="38"/>
  <c r="Y20" i="38"/>
  <c r="X20" i="38"/>
  <c r="Y19" i="38"/>
  <c r="X19" i="38"/>
  <c r="Y18" i="38"/>
  <c r="X18" i="38"/>
  <c r="Y17" i="38"/>
  <c r="X17" i="38"/>
  <c r="Y16" i="38"/>
  <c r="X16" i="38"/>
  <c r="Y15" i="38"/>
  <c r="X15" i="38"/>
  <c r="Y14" i="38"/>
  <c r="X14" i="38"/>
  <c r="Y13" i="38"/>
  <c r="X13" i="38"/>
  <c r="Y12" i="38"/>
  <c r="X12" i="38"/>
  <c r="Y11" i="38"/>
  <c r="X11" i="38"/>
  <c r="Y10" i="38"/>
  <c r="X10" i="38"/>
  <c r="C39" i="38"/>
  <c r="B39" i="38"/>
  <c r="E39" i="38"/>
  <c r="D39" i="38"/>
  <c r="E38" i="38"/>
  <c r="D38" i="38"/>
  <c r="E37" i="38"/>
  <c r="D37" i="38"/>
  <c r="E36" i="38"/>
  <c r="D36" i="38"/>
  <c r="E35" i="38"/>
  <c r="D35" i="38"/>
  <c r="E34" i="38"/>
  <c r="D34" i="38"/>
  <c r="E33" i="38"/>
  <c r="D33" i="38"/>
  <c r="E32" i="38"/>
  <c r="D32" i="38"/>
  <c r="E31" i="38"/>
  <c r="D31" i="38"/>
  <c r="E30" i="38"/>
  <c r="D30" i="38"/>
  <c r="E29" i="38"/>
  <c r="D29" i="38"/>
  <c r="E28" i="38"/>
  <c r="D28" i="38"/>
  <c r="E27" i="38"/>
  <c r="D27" i="38"/>
  <c r="C22" i="38"/>
  <c r="B22" i="38"/>
  <c r="E22" i="38"/>
  <c r="D22" i="38"/>
  <c r="E21" i="38"/>
  <c r="D21" i="38"/>
  <c r="E20" i="38"/>
  <c r="D20" i="38"/>
  <c r="E19" i="38"/>
  <c r="D19" i="38"/>
  <c r="E18" i="38"/>
  <c r="D18" i="38"/>
  <c r="E17" i="38"/>
  <c r="D17" i="38"/>
  <c r="E16" i="38"/>
  <c r="D16" i="38"/>
  <c r="E15" i="38"/>
  <c r="D15" i="38"/>
  <c r="E14" i="38"/>
  <c r="D14" i="38"/>
  <c r="E13" i="38"/>
  <c r="D13" i="38"/>
  <c r="E12" i="38"/>
  <c r="D12" i="38"/>
  <c r="E11" i="38"/>
  <c r="D11" i="38"/>
  <c r="E10" i="38"/>
  <c r="D10" i="38"/>
  <c r="AM39" i="36"/>
  <c r="AL39" i="36"/>
  <c r="AO39" i="36"/>
  <c r="AN39" i="36"/>
  <c r="AO38" i="36"/>
  <c r="AN38" i="36"/>
  <c r="AO37" i="36"/>
  <c r="AN37" i="36"/>
  <c r="AO36" i="36"/>
  <c r="AN36" i="36"/>
  <c r="AO35" i="36"/>
  <c r="AN35" i="36"/>
  <c r="AO34" i="36"/>
  <c r="AN34" i="36"/>
  <c r="AO33" i="36"/>
  <c r="AN33" i="36"/>
  <c r="AO32" i="36"/>
  <c r="AN32" i="36"/>
  <c r="AO31" i="36"/>
  <c r="AN31" i="36"/>
  <c r="AO30" i="36"/>
  <c r="AN30" i="36"/>
  <c r="AO29" i="36"/>
  <c r="AN29" i="36"/>
  <c r="AO28" i="36"/>
  <c r="AN28" i="36"/>
  <c r="AO27" i="36"/>
  <c r="AN27" i="36"/>
  <c r="AM22" i="36"/>
  <c r="AL22" i="36"/>
  <c r="AO22" i="36"/>
  <c r="AN22" i="36"/>
  <c r="AO21" i="36"/>
  <c r="AN21" i="36"/>
  <c r="AO20" i="36"/>
  <c r="AN20" i="36"/>
  <c r="AO19" i="36"/>
  <c r="AN19" i="36"/>
  <c r="AO18" i="36"/>
  <c r="AN18" i="36"/>
  <c r="AO17" i="36"/>
  <c r="AN17" i="36"/>
  <c r="AO16" i="36"/>
  <c r="AN16" i="36"/>
  <c r="AO15" i="36"/>
  <c r="AN15" i="36"/>
  <c r="AO14" i="36"/>
  <c r="AN14" i="36"/>
  <c r="AO13" i="36"/>
  <c r="AN13" i="36"/>
  <c r="AO12" i="36"/>
  <c r="AN12" i="36"/>
  <c r="AO11" i="36"/>
  <c r="AN11" i="36"/>
  <c r="AO10" i="36"/>
  <c r="AN10" i="36"/>
  <c r="C39" i="36"/>
  <c r="B39" i="36"/>
  <c r="E39" i="36"/>
  <c r="D39" i="36"/>
  <c r="E38" i="36"/>
  <c r="D38" i="36"/>
  <c r="E37" i="36"/>
  <c r="D37" i="36"/>
  <c r="E36" i="36"/>
  <c r="D36" i="36"/>
  <c r="E35" i="36"/>
  <c r="D35" i="36"/>
  <c r="E34" i="36"/>
  <c r="D34" i="36"/>
  <c r="E33" i="36"/>
  <c r="D33" i="36"/>
  <c r="E32" i="36"/>
  <c r="D32" i="36"/>
  <c r="E31" i="36"/>
  <c r="D31" i="36"/>
  <c r="E30" i="36"/>
  <c r="D30" i="36"/>
  <c r="E29" i="36"/>
  <c r="D29" i="36"/>
  <c r="E28" i="36"/>
  <c r="D28" i="36"/>
  <c r="E27" i="36"/>
  <c r="D27" i="36"/>
  <c r="C22" i="36"/>
  <c r="B22" i="36"/>
  <c r="E22" i="36"/>
  <c r="D22" i="36"/>
  <c r="E21" i="36"/>
  <c r="D21" i="36"/>
  <c r="E20" i="36"/>
  <c r="D20" i="36"/>
  <c r="E19" i="36"/>
  <c r="D19" i="36"/>
  <c r="E18" i="36"/>
  <c r="D18" i="36"/>
  <c r="E17" i="36"/>
  <c r="D17" i="36"/>
  <c r="E16" i="36"/>
  <c r="D16" i="36"/>
  <c r="E15" i="36"/>
  <c r="D15" i="36"/>
  <c r="E14" i="36"/>
  <c r="D14" i="36"/>
  <c r="E13" i="36"/>
  <c r="D13" i="36"/>
  <c r="E12" i="36"/>
  <c r="D12" i="36"/>
  <c r="E11" i="36"/>
  <c r="D11" i="36"/>
  <c r="E10" i="36"/>
  <c r="D10" i="36"/>
  <c r="AI39" i="32"/>
  <c r="AH39" i="32"/>
  <c r="AK39" i="32"/>
  <c r="AJ39" i="32"/>
  <c r="AK38" i="32"/>
  <c r="AJ38" i="32"/>
  <c r="AK37" i="32"/>
  <c r="AJ37" i="32"/>
  <c r="AK36" i="32"/>
  <c r="AJ36" i="32"/>
  <c r="AK35" i="32"/>
  <c r="AJ35" i="32"/>
  <c r="AK34" i="32"/>
  <c r="AJ34" i="32"/>
  <c r="AK33" i="32"/>
  <c r="AJ33" i="32"/>
  <c r="AK32" i="32"/>
  <c r="AJ32" i="32"/>
  <c r="AK31" i="32"/>
  <c r="AJ31" i="32"/>
  <c r="AK30" i="32"/>
  <c r="AJ30" i="32"/>
  <c r="AK29" i="32"/>
  <c r="AJ29" i="32"/>
  <c r="AK28" i="32"/>
  <c r="AJ28" i="32"/>
  <c r="AK27" i="32"/>
  <c r="AJ27" i="32"/>
  <c r="AI22" i="32"/>
  <c r="AH22" i="32"/>
  <c r="AK22" i="32"/>
  <c r="AJ22" i="32"/>
  <c r="AK21" i="32"/>
  <c r="AJ21" i="32"/>
  <c r="AK20" i="32"/>
  <c r="AJ20" i="32"/>
  <c r="AK19" i="32"/>
  <c r="AJ19" i="32"/>
  <c r="AK18" i="32"/>
  <c r="AJ18" i="32"/>
  <c r="AK17" i="32"/>
  <c r="AJ17" i="32"/>
  <c r="AK16" i="32"/>
  <c r="AJ16" i="32"/>
  <c r="AK15" i="32"/>
  <c r="AJ15" i="32"/>
  <c r="AK14" i="32"/>
  <c r="AJ14" i="32"/>
  <c r="AK13" i="32"/>
  <c r="AJ13" i="32"/>
  <c r="AK12" i="32"/>
  <c r="AJ12" i="32"/>
  <c r="AK11" i="32"/>
  <c r="AJ11" i="32"/>
  <c r="AK10" i="32"/>
  <c r="AJ10" i="32"/>
  <c r="C39" i="32"/>
  <c r="B39" i="32"/>
  <c r="E39" i="32"/>
  <c r="D39" i="32"/>
  <c r="E38" i="32"/>
  <c r="D38" i="32"/>
  <c r="E37" i="32"/>
  <c r="D37" i="32"/>
  <c r="E36" i="32"/>
  <c r="D36" i="32"/>
  <c r="E35" i="32"/>
  <c r="D35" i="32"/>
  <c r="E34" i="32"/>
  <c r="D34" i="32"/>
  <c r="E33" i="32"/>
  <c r="D33" i="32"/>
  <c r="E32" i="32"/>
  <c r="D32" i="32"/>
  <c r="E31" i="32"/>
  <c r="D31" i="32"/>
  <c r="E30" i="32"/>
  <c r="D30" i="32"/>
  <c r="E29" i="32"/>
  <c r="D29" i="32"/>
  <c r="E28" i="32"/>
  <c r="D28" i="32"/>
  <c r="E27" i="32"/>
  <c r="D27" i="32"/>
  <c r="C22" i="32"/>
  <c r="B22" i="32"/>
  <c r="E22" i="32"/>
  <c r="D22" i="32"/>
  <c r="E21" i="32"/>
  <c r="D21" i="32"/>
  <c r="E20" i="32"/>
  <c r="D20" i="32"/>
  <c r="E19" i="32"/>
  <c r="D19" i="32"/>
  <c r="E18" i="32"/>
  <c r="D18" i="32"/>
  <c r="E17" i="32"/>
  <c r="D17" i="32"/>
  <c r="E16" i="32"/>
  <c r="D16" i="32"/>
  <c r="E15" i="32"/>
  <c r="D15" i="32"/>
  <c r="E14" i="32"/>
  <c r="D14" i="32"/>
  <c r="E13" i="32"/>
  <c r="D13" i="32"/>
  <c r="E12" i="32"/>
  <c r="D12" i="32"/>
  <c r="E11" i="32"/>
  <c r="D11" i="32"/>
  <c r="E10" i="32"/>
  <c r="D10" i="32"/>
  <c r="AI39" i="31"/>
  <c r="AH39" i="31"/>
  <c r="AK39" i="31"/>
  <c r="AJ39" i="31"/>
  <c r="AK38" i="31"/>
  <c r="AJ38" i="31"/>
  <c r="AK37" i="31"/>
  <c r="AJ37" i="31"/>
  <c r="AK36" i="31"/>
  <c r="AJ36" i="31"/>
  <c r="AK35" i="31"/>
  <c r="AJ35" i="31"/>
  <c r="AK34" i="31"/>
  <c r="AJ34" i="31"/>
  <c r="AK33" i="31"/>
  <c r="AJ33" i="31"/>
  <c r="AK32" i="31"/>
  <c r="AJ32" i="31"/>
  <c r="AK31" i="31"/>
  <c r="AJ31" i="31"/>
  <c r="AK30" i="31"/>
  <c r="AJ30" i="31"/>
  <c r="AK29" i="31"/>
  <c r="AJ29" i="31"/>
  <c r="AK28" i="31"/>
  <c r="AJ28" i="31"/>
  <c r="AK27" i="31"/>
  <c r="AJ27" i="31"/>
  <c r="AI22" i="31"/>
  <c r="AH22" i="31"/>
  <c r="AK22" i="31"/>
  <c r="AJ22" i="31"/>
  <c r="AK21" i="31"/>
  <c r="AJ21" i="31"/>
  <c r="AK20" i="31"/>
  <c r="AJ20" i="31"/>
  <c r="AK19" i="31"/>
  <c r="AJ19" i="31"/>
  <c r="AK18" i="31"/>
  <c r="AJ18" i="31"/>
  <c r="AK17" i="31"/>
  <c r="AJ17" i="31"/>
  <c r="AK16" i="31"/>
  <c r="AJ16" i="31"/>
  <c r="AK15" i="31"/>
  <c r="AJ15" i="31"/>
  <c r="AK14" i="31"/>
  <c r="AJ14" i="31"/>
  <c r="AK13" i="31"/>
  <c r="AJ13" i="31"/>
  <c r="AK12" i="31"/>
  <c r="AJ12" i="31"/>
  <c r="AK11" i="31"/>
  <c r="AJ11" i="31"/>
  <c r="AK10" i="31"/>
  <c r="AJ10" i="31"/>
  <c r="AI39" i="30"/>
  <c r="AH39" i="30"/>
  <c r="AK39" i="30"/>
  <c r="AJ39" i="30"/>
  <c r="AK38" i="30"/>
  <c r="AJ38" i="30"/>
  <c r="AK37" i="30"/>
  <c r="AJ37" i="30"/>
  <c r="AK36" i="30"/>
  <c r="AJ36" i="30"/>
  <c r="AK35" i="30"/>
  <c r="AJ35" i="30"/>
  <c r="AK34" i="30"/>
  <c r="AJ34" i="30"/>
  <c r="AK33" i="30"/>
  <c r="AJ33" i="30"/>
  <c r="AK32" i="30"/>
  <c r="AJ32" i="30"/>
  <c r="AK31" i="30"/>
  <c r="AJ31" i="30"/>
  <c r="AK30" i="30"/>
  <c r="AJ30" i="30"/>
  <c r="AK29" i="30"/>
  <c r="AJ29" i="30"/>
  <c r="AK28" i="30"/>
  <c r="AJ28" i="30"/>
  <c r="AK27" i="30"/>
  <c r="AJ27" i="30"/>
  <c r="AI22" i="30"/>
  <c r="AH22" i="30"/>
  <c r="AK22" i="30"/>
  <c r="AJ22" i="30"/>
  <c r="AK21" i="30"/>
  <c r="AJ21" i="30"/>
  <c r="AK20" i="30"/>
  <c r="AJ20" i="30"/>
  <c r="AK19" i="30"/>
  <c r="AJ19" i="30"/>
  <c r="AK18" i="30"/>
  <c r="AJ18" i="30"/>
  <c r="AK17" i="30"/>
  <c r="AJ17" i="30"/>
  <c r="AK16" i="30"/>
  <c r="AJ16" i="30"/>
  <c r="AK15" i="30"/>
  <c r="AJ15" i="30"/>
  <c r="AK14" i="30"/>
  <c r="AJ14" i="30"/>
  <c r="AK13" i="30"/>
  <c r="AJ13" i="30"/>
  <c r="AK12" i="30"/>
  <c r="AJ12" i="30"/>
  <c r="AK11" i="30"/>
  <c r="AJ11" i="30"/>
  <c r="AK10" i="30"/>
  <c r="AJ10" i="30"/>
  <c r="G39" i="30"/>
  <c r="F39" i="30"/>
  <c r="I39" i="30"/>
  <c r="H39" i="30"/>
  <c r="I38" i="30"/>
  <c r="H38" i="30"/>
  <c r="I37" i="30"/>
  <c r="H37" i="30"/>
  <c r="I36" i="30"/>
  <c r="H36" i="30"/>
  <c r="I35" i="30"/>
  <c r="H35" i="30"/>
  <c r="I34" i="30"/>
  <c r="H34" i="30"/>
  <c r="I33" i="30"/>
  <c r="H33" i="30"/>
  <c r="I32" i="30"/>
  <c r="H32" i="30"/>
  <c r="I31" i="30"/>
  <c r="H31" i="30"/>
  <c r="I30" i="30"/>
  <c r="H30" i="30"/>
  <c r="I29" i="30"/>
  <c r="H29" i="30"/>
  <c r="I28" i="30"/>
  <c r="H28" i="30"/>
  <c r="I27" i="30"/>
  <c r="H27" i="30"/>
  <c r="G22" i="30"/>
  <c r="F22" i="30"/>
  <c r="I22" i="30"/>
  <c r="H22" i="30"/>
  <c r="I21" i="30"/>
  <c r="H21" i="30"/>
  <c r="I20" i="30"/>
  <c r="H20" i="30"/>
  <c r="I19" i="30"/>
  <c r="H19" i="30"/>
  <c r="I18" i="30"/>
  <c r="H18" i="30"/>
  <c r="I17" i="30"/>
  <c r="H17" i="30"/>
  <c r="I16" i="30"/>
  <c r="H16" i="30"/>
  <c r="I15" i="30"/>
  <c r="H15" i="30"/>
  <c r="I14" i="30"/>
  <c r="H14" i="30"/>
  <c r="I13" i="30"/>
  <c r="H13" i="30"/>
  <c r="I12" i="30"/>
  <c r="H12" i="30"/>
  <c r="I11" i="30"/>
  <c r="H11" i="30"/>
  <c r="I10" i="30"/>
  <c r="H10" i="30"/>
  <c r="AU39" i="29"/>
  <c r="AT39" i="29"/>
  <c r="AW39" i="29"/>
  <c r="AV39" i="29"/>
  <c r="AW38" i="29"/>
  <c r="AV38" i="29"/>
  <c r="AW37" i="29"/>
  <c r="AV37" i="29"/>
  <c r="AW36" i="29"/>
  <c r="AV36" i="29"/>
  <c r="AW35" i="29"/>
  <c r="AV35" i="29"/>
  <c r="AW34" i="29"/>
  <c r="AV34" i="29"/>
  <c r="AW33" i="29"/>
  <c r="AV33" i="29"/>
  <c r="AW32" i="29"/>
  <c r="AV32" i="29"/>
  <c r="AW31" i="29"/>
  <c r="AV31" i="29"/>
  <c r="AW30" i="29"/>
  <c r="AV30" i="29"/>
  <c r="AW29" i="29"/>
  <c r="AV29" i="29"/>
  <c r="AW28" i="29"/>
  <c r="AV28" i="29"/>
  <c r="AW27" i="29"/>
  <c r="AV27" i="29"/>
  <c r="AU22" i="29"/>
  <c r="AT22" i="29"/>
  <c r="AW22" i="29"/>
  <c r="AV22" i="29"/>
  <c r="AW21" i="29"/>
  <c r="AV21" i="29"/>
  <c r="AW20" i="29"/>
  <c r="AV20" i="29"/>
  <c r="AW19" i="29"/>
  <c r="AV19" i="29"/>
  <c r="AW18" i="29"/>
  <c r="AV18" i="29"/>
  <c r="AW17" i="29"/>
  <c r="AV17" i="29"/>
  <c r="AW16" i="29"/>
  <c r="AV16" i="29"/>
  <c r="AW15" i="29"/>
  <c r="AV15" i="29"/>
  <c r="AW14" i="29"/>
  <c r="AV14" i="29"/>
  <c r="AW13" i="29"/>
  <c r="AV13" i="29"/>
  <c r="AW12" i="29"/>
  <c r="AV12" i="29"/>
  <c r="AW11" i="29"/>
  <c r="AV11" i="29"/>
  <c r="AW10" i="29"/>
  <c r="AV10" i="29"/>
  <c r="AQ39" i="29"/>
  <c r="AP39" i="29"/>
  <c r="AS39" i="29"/>
  <c r="AR39" i="29"/>
  <c r="AS38" i="29"/>
  <c r="AR38" i="29"/>
  <c r="AS37" i="29"/>
  <c r="AR37" i="29"/>
  <c r="AS36" i="29"/>
  <c r="AR36" i="29"/>
  <c r="AS35" i="29"/>
  <c r="AR35" i="29"/>
  <c r="AS34" i="29"/>
  <c r="AR34" i="29"/>
  <c r="AS33" i="29"/>
  <c r="AR33" i="29"/>
  <c r="AS32" i="29"/>
  <c r="AR32" i="29"/>
  <c r="AS31" i="29"/>
  <c r="AR31" i="29"/>
  <c r="AS30" i="29"/>
  <c r="AR30" i="29"/>
  <c r="AS29" i="29"/>
  <c r="AR29" i="29"/>
  <c r="AS28" i="29"/>
  <c r="AR28" i="29"/>
  <c r="AS27" i="29"/>
  <c r="AR27" i="29"/>
  <c r="AQ22" i="29"/>
  <c r="AP22" i="29"/>
  <c r="AS22" i="29"/>
  <c r="AR22" i="29"/>
  <c r="AS21" i="29"/>
  <c r="AR21" i="29"/>
  <c r="AS20" i="29"/>
  <c r="AR20" i="29"/>
  <c r="AS19" i="29"/>
  <c r="AR19" i="29"/>
  <c r="AS18" i="29"/>
  <c r="AR18" i="29"/>
  <c r="AS17" i="29"/>
  <c r="AR17" i="29"/>
  <c r="AS16" i="29"/>
  <c r="AR16" i="29"/>
  <c r="AS15" i="29"/>
  <c r="AR15" i="29"/>
  <c r="AS14" i="29"/>
  <c r="AR14" i="29"/>
  <c r="AS13" i="29"/>
  <c r="AR13" i="29"/>
  <c r="AS12" i="29"/>
  <c r="AR12" i="29"/>
  <c r="AS11" i="29"/>
  <c r="AR11" i="29"/>
  <c r="AS10" i="29"/>
  <c r="AR10" i="29"/>
  <c r="C39" i="28"/>
  <c r="B39" i="28"/>
  <c r="E39" i="28"/>
  <c r="D39" i="28"/>
  <c r="E38" i="28"/>
  <c r="D38" i="28"/>
  <c r="E37" i="28"/>
  <c r="D37" i="28"/>
  <c r="E36" i="28"/>
  <c r="D36" i="28"/>
  <c r="E35" i="28"/>
  <c r="D35" i="28"/>
  <c r="E34" i="28"/>
  <c r="D34" i="28"/>
  <c r="E33" i="28"/>
  <c r="D33" i="28"/>
  <c r="E32" i="28"/>
  <c r="D32" i="28"/>
  <c r="E31" i="28"/>
  <c r="D31" i="28"/>
  <c r="E30" i="28"/>
  <c r="D30" i="28"/>
  <c r="E29" i="28"/>
  <c r="D29" i="28"/>
  <c r="E28" i="28"/>
  <c r="D28" i="28"/>
  <c r="E27" i="28"/>
  <c r="D27" i="28"/>
  <c r="C22" i="28"/>
  <c r="B22" i="28"/>
  <c r="E22" i="28"/>
  <c r="D22" i="28"/>
  <c r="E21" i="28"/>
  <c r="D21" i="28"/>
  <c r="E20" i="28"/>
  <c r="D20" i="28"/>
  <c r="E19" i="28"/>
  <c r="D19" i="28"/>
  <c r="E18" i="28"/>
  <c r="D18" i="28"/>
  <c r="E17" i="28"/>
  <c r="D17" i="28"/>
  <c r="E16" i="28"/>
  <c r="D16" i="28"/>
  <c r="E15" i="28"/>
  <c r="D15" i="28"/>
  <c r="E14" i="28"/>
  <c r="D14" i="28"/>
  <c r="E13" i="28"/>
  <c r="D13" i="28"/>
  <c r="E12" i="28"/>
  <c r="D12" i="28"/>
  <c r="E11" i="28"/>
  <c r="D11" i="28"/>
  <c r="E10" i="28"/>
  <c r="D10" i="28"/>
  <c r="AQ39" i="27"/>
  <c r="AP39" i="27"/>
  <c r="AS39" i="27"/>
  <c r="AR39" i="27"/>
  <c r="AS38" i="27"/>
  <c r="AR38" i="27"/>
  <c r="AS37" i="27"/>
  <c r="AR37" i="27"/>
  <c r="AS36" i="27"/>
  <c r="AR36" i="27"/>
  <c r="AS35" i="27"/>
  <c r="AR35" i="27"/>
  <c r="AS34" i="27"/>
  <c r="AR34" i="27"/>
  <c r="AS33" i="27"/>
  <c r="AR33" i="27"/>
  <c r="AS32" i="27"/>
  <c r="AR32" i="27"/>
  <c r="AS31" i="27"/>
  <c r="AR31" i="27"/>
  <c r="AS30" i="27"/>
  <c r="AR30" i="27"/>
  <c r="AS29" i="27"/>
  <c r="AR29" i="27"/>
  <c r="AS28" i="27"/>
  <c r="AR28" i="27"/>
  <c r="AS27" i="27"/>
  <c r="AR27" i="27"/>
  <c r="AQ22" i="27"/>
  <c r="AP22" i="27"/>
  <c r="AS22" i="27"/>
  <c r="AR22" i="27"/>
  <c r="AS21" i="27"/>
  <c r="AR21" i="27"/>
  <c r="AS20" i="27"/>
  <c r="AR20" i="27"/>
  <c r="AS19" i="27"/>
  <c r="AR19" i="27"/>
  <c r="AS18" i="27"/>
  <c r="AR18" i="27"/>
  <c r="AS17" i="27"/>
  <c r="AR17" i="27"/>
  <c r="AS16" i="27"/>
  <c r="AR16" i="27"/>
  <c r="AS15" i="27"/>
  <c r="AR15" i="27"/>
  <c r="AS14" i="27"/>
  <c r="AR14" i="27"/>
  <c r="AS13" i="27"/>
  <c r="AR13" i="27"/>
  <c r="AS12" i="27"/>
  <c r="AR12" i="27"/>
  <c r="AS11" i="27"/>
  <c r="AR11" i="27"/>
  <c r="AS10" i="27"/>
  <c r="AR10" i="27"/>
  <c r="C39" i="27"/>
  <c r="B39" i="27"/>
  <c r="E39" i="27"/>
  <c r="D39" i="27"/>
  <c r="E38" i="27"/>
  <c r="D38" i="27"/>
  <c r="E37" i="27"/>
  <c r="D37" i="27"/>
  <c r="E36" i="27"/>
  <c r="D36" i="27"/>
  <c r="E35" i="27"/>
  <c r="D35" i="27"/>
  <c r="E34" i="27"/>
  <c r="D34" i="27"/>
  <c r="E33" i="27"/>
  <c r="D33" i="27"/>
  <c r="E32" i="27"/>
  <c r="D32" i="27"/>
  <c r="E31" i="27"/>
  <c r="D31" i="27"/>
  <c r="E30" i="27"/>
  <c r="D30" i="27"/>
  <c r="E29" i="27"/>
  <c r="D29" i="27"/>
  <c r="E28" i="27"/>
  <c r="D28" i="27"/>
  <c r="E27" i="27"/>
  <c r="D27" i="27"/>
  <c r="C22" i="27"/>
  <c r="B22" i="27"/>
  <c r="E22" i="27"/>
  <c r="D22" i="27"/>
  <c r="E21" i="27"/>
  <c r="D21" i="27"/>
  <c r="E20" i="27"/>
  <c r="D20" i="27"/>
  <c r="E19" i="27"/>
  <c r="D19" i="27"/>
  <c r="E18" i="27"/>
  <c r="D18" i="27"/>
  <c r="E17" i="27"/>
  <c r="D17" i="27"/>
  <c r="E16" i="27"/>
  <c r="D16" i="27"/>
  <c r="E15" i="27"/>
  <c r="D15" i="27"/>
  <c r="E14" i="27"/>
  <c r="D14" i="27"/>
  <c r="E13" i="27"/>
  <c r="D13" i="27"/>
  <c r="E12" i="27"/>
  <c r="D12" i="27"/>
  <c r="E11" i="27"/>
  <c r="D11" i="27"/>
  <c r="E10" i="27"/>
  <c r="D10" i="27"/>
  <c r="AQ39" i="26"/>
  <c r="AP39" i="26"/>
  <c r="AS39" i="26"/>
  <c r="AR39" i="26"/>
  <c r="AS38" i="26"/>
  <c r="AR38" i="26"/>
  <c r="AS37" i="26"/>
  <c r="AR37" i="26"/>
  <c r="AS36" i="26"/>
  <c r="AR36" i="26"/>
  <c r="AS35" i="26"/>
  <c r="AR35" i="26"/>
  <c r="AS34" i="26"/>
  <c r="AR34" i="26"/>
  <c r="AS33" i="26"/>
  <c r="AR33" i="26"/>
  <c r="AS32" i="26"/>
  <c r="AR32" i="26"/>
  <c r="AS31" i="26"/>
  <c r="AR31" i="26"/>
  <c r="AS30" i="26"/>
  <c r="AR30" i="26"/>
  <c r="AS29" i="26"/>
  <c r="AR29" i="26"/>
  <c r="AS28" i="26"/>
  <c r="AR28" i="26"/>
  <c r="AS27" i="26"/>
  <c r="AR27" i="26"/>
  <c r="AQ22" i="26"/>
  <c r="AP22" i="26"/>
  <c r="AS22" i="26"/>
  <c r="AR22" i="26"/>
  <c r="AS21" i="26"/>
  <c r="AR21" i="26"/>
  <c r="AS20" i="26"/>
  <c r="AR20" i="26"/>
  <c r="AS19" i="26"/>
  <c r="AR19" i="26"/>
  <c r="AS18" i="26"/>
  <c r="AR18" i="26"/>
  <c r="AS17" i="26"/>
  <c r="AR17" i="26"/>
  <c r="AS16" i="26"/>
  <c r="AR16" i="26"/>
  <c r="AS15" i="26"/>
  <c r="AR15" i="26"/>
  <c r="AS14" i="26"/>
  <c r="AR14" i="26"/>
  <c r="AS13" i="26"/>
  <c r="AR13" i="26"/>
  <c r="AS12" i="26"/>
  <c r="AR12" i="26"/>
  <c r="AS11" i="26"/>
  <c r="AR11" i="26"/>
  <c r="AS10" i="26"/>
  <c r="AR10" i="26"/>
  <c r="J24" i="35"/>
  <c r="J25" i="35"/>
  <c r="J26" i="35"/>
  <c r="J27" i="35"/>
  <c r="J28" i="35"/>
  <c r="J29" i="35"/>
  <c r="J30" i="35"/>
  <c r="J31" i="35"/>
  <c r="J32" i="35"/>
  <c r="J33" i="35"/>
  <c r="J34" i="35"/>
  <c r="J35" i="35"/>
  <c r="J36" i="35"/>
  <c r="J4" i="35"/>
  <c r="J5" i="35"/>
  <c r="J6" i="35"/>
  <c r="J7" i="35"/>
  <c r="J8" i="35"/>
  <c r="J9" i="35"/>
  <c r="J10" i="35"/>
  <c r="J11" i="35"/>
  <c r="J12" i="35"/>
  <c r="J13" i="35"/>
  <c r="J14" i="35"/>
  <c r="J15" i="35"/>
  <c r="J16" i="35"/>
  <c r="J20" i="35"/>
  <c r="J19" i="35"/>
  <c r="I24" i="35"/>
  <c r="I25" i="35"/>
  <c r="I26" i="35"/>
  <c r="I27" i="35"/>
  <c r="I28" i="35"/>
  <c r="I29" i="35"/>
  <c r="I30" i="35"/>
  <c r="I31" i="35"/>
  <c r="I32" i="35"/>
  <c r="I33" i="35"/>
  <c r="I34" i="35"/>
  <c r="I35" i="35"/>
  <c r="I36" i="35"/>
  <c r="I4" i="35"/>
  <c r="I5" i="35"/>
  <c r="I6" i="35"/>
  <c r="I7" i="35"/>
  <c r="I8" i="35"/>
  <c r="I9" i="35"/>
  <c r="I10" i="35"/>
  <c r="I11" i="35"/>
  <c r="I12" i="35"/>
  <c r="I13" i="35"/>
  <c r="I14" i="35"/>
  <c r="I15" i="35"/>
  <c r="I16" i="35"/>
  <c r="I20" i="35"/>
  <c r="I19" i="35"/>
  <c r="H24" i="35"/>
  <c r="H25" i="35"/>
  <c r="H26" i="35"/>
  <c r="H27" i="35"/>
  <c r="H28" i="35"/>
  <c r="H29" i="35"/>
  <c r="H30" i="35"/>
  <c r="H31" i="35"/>
  <c r="H32" i="35"/>
  <c r="H33" i="35"/>
  <c r="H34" i="35"/>
  <c r="H35" i="35"/>
  <c r="H36" i="35"/>
  <c r="H4" i="35"/>
  <c r="H5" i="35"/>
  <c r="H6" i="35"/>
  <c r="H7" i="35"/>
  <c r="H8" i="35"/>
  <c r="H9" i="35"/>
  <c r="H10" i="35"/>
  <c r="H11" i="35"/>
  <c r="H12" i="35"/>
  <c r="H13" i="35"/>
  <c r="H14" i="35"/>
  <c r="H15" i="35"/>
  <c r="H16" i="35"/>
  <c r="H20" i="35"/>
  <c r="H19" i="35"/>
  <c r="J25" i="34"/>
  <c r="J26" i="34"/>
  <c r="J27" i="34"/>
  <c r="J28" i="34"/>
  <c r="J29" i="34"/>
  <c r="J30" i="34"/>
  <c r="J31" i="34"/>
  <c r="J32" i="34"/>
  <c r="J33" i="34"/>
  <c r="J34" i="34"/>
  <c r="J35" i="34"/>
  <c r="J36" i="34"/>
  <c r="J37" i="34"/>
  <c r="B37" i="34"/>
  <c r="K37" i="34"/>
  <c r="I37" i="34"/>
  <c r="H37" i="34"/>
  <c r="G37" i="34"/>
  <c r="F37" i="34"/>
  <c r="E37" i="34"/>
  <c r="D37" i="34"/>
  <c r="C37" i="34"/>
  <c r="K36" i="34"/>
  <c r="K35" i="34"/>
  <c r="K34" i="34"/>
  <c r="K33" i="34"/>
  <c r="K32" i="34"/>
  <c r="K31" i="34"/>
  <c r="K30" i="34"/>
  <c r="K29" i="34"/>
  <c r="K28" i="34"/>
  <c r="K27" i="34"/>
  <c r="A23" i="34"/>
  <c r="M26" i="34"/>
  <c r="K26" i="34"/>
  <c r="K25" i="34"/>
  <c r="J5" i="34"/>
  <c r="J6" i="34"/>
  <c r="J7" i="34"/>
  <c r="J8" i="34"/>
  <c r="J9" i="34"/>
  <c r="J10" i="34"/>
  <c r="J11" i="34"/>
  <c r="J12" i="34"/>
  <c r="J13" i="34"/>
  <c r="J14" i="34"/>
  <c r="J15" i="34"/>
  <c r="J16" i="34"/>
  <c r="J17" i="34"/>
  <c r="J21" i="34"/>
  <c r="I17" i="34"/>
  <c r="I21" i="34"/>
  <c r="H17" i="34"/>
  <c r="H21" i="34"/>
  <c r="G17" i="34"/>
  <c r="G21" i="34"/>
  <c r="F17" i="34"/>
  <c r="F21" i="34"/>
  <c r="E17" i="34"/>
  <c r="E21" i="34"/>
  <c r="D17" i="34"/>
  <c r="D21" i="34"/>
  <c r="C17" i="34"/>
  <c r="C21" i="34"/>
  <c r="A3" i="34"/>
  <c r="A21" i="34"/>
  <c r="J20" i="34"/>
  <c r="I20" i="34"/>
  <c r="H20" i="34"/>
  <c r="G20" i="34"/>
  <c r="F20" i="34"/>
  <c r="E20" i="34"/>
  <c r="D20" i="34"/>
  <c r="C20" i="34"/>
  <c r="A20" i="34"/>
  <c r="B17" i="34"/>
  <c r="K17" i="34"/>
  <c r="K16" i="34"/>
  <c r="K15" i="34"/>
  <c r="K14" i="34"/>
  <c r="K13" i="34"/>
  <c r="K12" i="34"/>
  <c r="K11" i="34"/>
  <c r="K10" i="34"/>
  <c r="K9" i="34"/>
  <c r="K8" i="34"/>
  <c r="K7" i="34"/>
  <c r="K6" i="34"/>
  <c r="K5" i="34"/>
  <c r="M4" i="34"/>
  <c r="J25" i="33"/>
  <c r="J26" i="33"/>
  <c r="J27" i="33"/>
  <c r="J28" i="33"/>
  <c r="J29" i="33"/>
  <c r="J30" i="33"/>
  <c r="J31" i="33"/>
  <c r="J32" i="33"/>
  <c r="J33" i="33"/>
  <c r="J34" i="33"/>
  <c r="J35" i="33"/>
  <c r="J36" i="33"/>
  <c r="J37" i="33"/>
  <c r="B37" i="33"/>
  <c r="K37" i="33"/>
  <c r="I37" i="33"/>
  <c r="H37" i="33"/>
  <c r="G37" i="33"/>
  <c r="F37" i="33"/>
  <c r="E37" i="33"/>
  <c r="D37" i="33"/>
  <c r="C37" i="33"/>
  <c r="K36" i="33"/>
  <c r="K35" i="33"/>
  <c r="K34" i="33"/>
  <c r="K33" i="33"/>
  <c r="K32" i="33"/>
  <c r="K31" i="33"/>
  <c r="K30" i="33"/>
  <c r="K29" i="33"/>
  <c r="K28" i="33"/>
  <c r="K27" i="33"/>
  <c r="A23" i="33"/>
  <c r="M26" i="33"/>
  <c r="K26" i="33"/>
  <c r="K25" i="33"/>
  <c r="J5" i="33"/>
  <c r="J6" i="33"/>
  <c r="J7" i="33"/>
  <c r="J8" i="33"/>
  <c r="J9" i="33"/>
  <c r="J10" i="33"/>
  <c r="J11" i="33"/>
  <c r="J12" i="33"/>
  <c r="J13" i="33"/>
  <c r="J14" i="33"/>
  <c r="J15" i="33"/>
  <c r="J16" i="33"/>
  <c r="J17" i="33"/>
  <c r="J21" i="33"/>
  <c r="I17" i="33"/>
  <c r="I21" i="33"/>
  <c r="H17" i="33"/>
  <c r="H21" i="33"/>
  <c r="G17" i="33"/>
  <c r="G21" i="33"/>
  <c r="F17" i="33"/>
  <c r="F21" i="33"/>
  <c r="E17" i="33"/>
  <c r="E21" i="33"/>
  <c r="D17" i="33"/>
  <c r="D21" i="33"/>
  <c r="C17" i="33"/>
  <c r="C21" i="33"/>
  <c r="A3" i="33"/>
  <c r="A21" i="33"/>
  <c r="J20" i="33"/>
  <c r="I20" i="33"/>
  <c r="H20" i="33"/>
  <c r="G20" i="33"/>
  <c r="F20" i="33"/>
  <c r="E20" i="33"/>
  <c r="D20" i="33"/>
  <c r="C20" i="33"/>
  <c r="A20" i="33"/>
  <c r="B17" i="33"/>
  <c r="K17" i="33"/>
  <c r="K16" i="33"/>
  <c r="K15" i="33"/>
  <c r="K14" i="33"/>
  <c r="K13" i="33"/>
  <c r="K12" i="33"/>
  <c r="K11" i="33"/>
  <c r="K10" i="33"/>
  <c r="K9" i="33"/>
  <c r="K8" i="33"/>
  <c r="K7" i="33"/>
  <c r="K6" i="33"/>
  <c r="K5" i="33"/>
  <c r="M4" i="33"/>
  <c r="H16" i="24"/>
  <c r="H36" i="24"/>
  <c r="H20" i="24"/>
  <c r="H19" i="24"/>
  <c r="H36" i="23"/>
  <c r="H16" i="23"/>
  <c r="H20" i="23"/>
  <c r="H19" i="23"/>
  <c r="H16" i="22"/>
  <c r="H36" i="22"/>
  <c r="H20" i="22"/>
  <c r="H19" i="22"/>
  <c r="I36" i="21"/>
  <c r="I16" i="21"/>
  <c r="I20" i="21"/>
  <c r="I19" i="21"/>
  <c r="H16" i="19"/>
  <c r="H36" i="19"/>
  <c r="H20" i="19"/>
  <c r="H19" i="19"/>
  <c r="H36" i="18"/>
  <c r="H16" i="18"/>
  <c r="H20" i="18"/>
  <c r="H19" i="18"/>
  <c r="J4" i="22"/>
  <c r="J5" i="22"/>
  <c r="J6" i="22"/>
  <c r="J7" i="22"/>
  <c r="J8" i="22"/>
  <c r="J9" i="22"/>
  <c r="J10" i="22"/>
  <c r="J11" i="22"/>
  <c r="J12" i="22"/>
  <c r="J13" i="22"/>
  <c r="J14" i="22"/>
  <c r="J15" i="22"/>
  <c r="A6" i="38"/>
  <c r="Q38" i="38"/>
  <c r="P38" i="38"/>
  <c r="U38" i="38"/>
  <c r="T38" i="38"/>
  <c r="AO38" i="38"/>
  <c r="AN38" i="38"/>
  <c r="AK38" i="38"/>
  <c r="AJ38" i="38"/>
  <c r="AC38" i="38"/>
  <c r="AB38" i="38"/>
  <c r="M38" i="38"/>
  <c r="L38" i="38"/>
  <c r="Q37" i="38"/>
  <c r="P37" i="38"/>
  <c r="U37" i="38"/>
  <c r="T37" i="38"/>
  <c r="AO37" i="38"/>
  <c r="AN37" i="38"/>
  <c r="AK37" i="38"/>
  <c r="AJ37" i="38"/>
  <c r="AC37" i="38"/>
  <c r="AB37" i="38"/>
  <c r="M37" i="38"/>
  <c r="L37" i="38"/>
  <c r="Q36" i="38"/>
  <c r="P36" i="38"/>
  <c r="U36" i="38"/>
  <c r="T36" i="38"/>
  <c r="AO36" i="38"/>
  <c r="AN36" i="38"/>
  <c r="AK36" i="38"/>
  <c r="AJ36" i="38"/>
  <c r="AC36" i="38"/>
  <c r="AB36" i="38"/>
  <c r="M36" i="38"/>
  <c r="L36" i="38"/>
  <c r="Q35" i="38"/>
  <c r="P35" i="38"/>
  <c r="U35" i="38"/>
  <c r="T35" i="38"/>
  <c r="AO35" i="38"/>
  <c r="AN35" i="38"/>
  <c r="AK35" i="38"/>
  <c r="AJ35" i="38"/>
  <c r="AC35" i="38"/>
  <c r="AB35" i="38"/>
  <c r="M35" i="38"/>
  <c r="L35" i="38"/>
  <c r="Q34" i="38"/>
  <c r="P34" i="38"/>
  <c r="U34" i="38"/>
  <c r="T34" i="38"/>
  <c r="AO34" i="38"/>
  <c r="AN34" i="38"/>
  <c r="AK34" i="38"/>
  <c r="AJ34" i="38"/>
  <c r="AC34" i="38"/>
  <c r="AB34" i="38"/>
  <c r="M34" i="38"/>
  <c r="L34" i="38"/>
  <c r="Q33" i="38"/>
  <c r="P33" i="38"/>
  <c r="U33" i="38"/>
  <c r="T33" i="38"/>
  <c r="AO33" i="38"/>
  <c r="AN33" i="38"/>
  <c r="AK33" i="38"/>
  <c r="AJ33" i="38"/>
  <c r="AC33" i="38"/>
  <c r="AB33" i="38"/>
  <c r="M33" i="38"/>
  <c r="L33" i="38"/>
  <c r="Q32" i="38"/>
  <c r="P32" i="38"/>
  <c r="U32" i="38"/>
  <c r="T32" i="38"/>
  <c r="AO32" i="38"/>
  <c r="AN32" i="38"/>
  <c r="AK32" i="38"/>
  <c r="AJ32" i="38"/>
  <c r="AC32" i="38"/>
  <c r="AB32" i="38"/>
  <c r="M32" i="38"/>
  <c r="L32" i="38"/>
  <c r="Q31" i="38"/>
  <c r="P31" i="38"/>
  <c r="U31" i="38"/>
  <c r="T31" i="38"/>
  <c r="AO31" i="38"/>
  <c r="AN31" i="38"/>
  <c r="AK31" i="38"/>
  <c r="AJ31" i="38"/>
  <c r="AC31" i="38"/>
  <c r="AB31" i="38"/>
  <c r="M31" i="38"/>
  <c r="L31" i="38"/>
  <c r="Q30" i="38"/>
  <c r="P30" i="38"/>
  <c r="U30" i="38"/>
  <c r="T30" i="38"/>
  <c r="AO30" i="38"/>
  <c r="AN30" i="38"/>
  <c r="AK30" i="38"/>
  <c r="AJ30" i="38"/>
  <c r="AC30" i="38"/>
  <c r="AB30" i="38"/>
  <c r="M30" i="38"/>
  <c r="L30" i="38"/>
  <c r="Q29" i="38"/>
  <c r="P29" i="38"/>
  <c r="U29" i="38"/>
  <c r="T29" i="38"/>
  <c r="AO29" i="38"/>
  <c r="AN29" i="38"/>
  <c r="AK29" i="38"/>
  <c r="AJ29" i="38"/>
  <c r="AC29" i="38"/>
  <c r="AB29" i="38"/>
  <c r="M29" i="38"/>
  <c r="L29" i="38"/>
  <c r="Q28" i="38"/>
  <c r="P28" i="38"/>
  <c r="U28" i="38"/>
  <c r="T28" i="38"/>
  <c r="AO28" i="38"/>
  <c r="AN28" i="38"/>
  <c r="AK28" i="38"/>
  <c r="AJ28" i="38"/>
  <c r="AC28" i="38"/>
  <c r="AB28" i="38"/>
  <c r="M28" i="38"/>
  <c r="L28" i="38"/>
  <c r="Q27" i="38"/>
  <c r="P27" i="38"/>
  <c r="U27" i="38"/>
  <c r="T27" i="38"/>
  <c r="AO27" i="38"/>
  <c r="AN27" i="38"/>
  <c r="AK27" i="38"/>
  <c r="AJ27" i="38"/>
  <c r="AC27" i="38"/>
  <c r="AB27" i="38"/>
  <c r="M27" i="38"/>
  <c r="L27" i="38"/>
  <c r="U38" i="36"/>
  <c r="T38" i="36"/>
  <c r="Q38" i="36"/>
  <c r="P38" i="36"/>
  <c r="Y38" i="36"/>
  <c r="X38" i="36"/>
  <c r="AK38" i="36"/>
  <c r="AJ38" i="36"/>
  <c r="AG38" i="36"/>
  <c r="AF38" i="36"/>
  <c r="AC38" i="36"/>
  <c r="AB38" i="36"/>
  <c r="M38" i="36"/>
  <c r="L38" i="36"/>
  <c r="I38" i="36"/>
  <c r="H38" i="36"/>
  <c r="U37" i="36"/>
  <c r="T37" i="36"/>
  <c r="Q37" i="36"/>
  <c r="P37" i="36"/>
  <c r="Y37" i="36"/>
  <c r="X37" i="36"/>
  <c r="AK37" i="36"/>
  <c r="AJ37" i="36"/>
  <c r="AG37" i="36"/>
  <c r="AF37" i="36"/>
  <c r="AC37" i="36"/>
  <c r="AB37" i="36"/>
  <c r="M37" i="36"/>
  <c r="L37" i="36"/>
  <c r="I37" i="36"/>
  <c r="H37" i="36"/>
  <c r="U36" i="36"/>
  <c r="T36" i="36"/>
  <c r="Q36" i="36"/>
  <c r="P36" i="36"/>
  <c r="Y36" i="36"/>
  <c r="X36" i="36"/>
  <c r="AK36" i="36"/>
  <c r="AJ36" i="36"/>
  <c r="AG36" i="36"/>
  <c r="AF36" i="36"/>
  <c r="AC36" i="36"/>
  <c r="AB36" i="36"/>
  <c r="M36" i="36"/>
  <c r="L36" i="36"/>
  <c r="I36" i="36"/>
  <c r="H36" i="36"/>
  <c r="U35" i="36"/>
  <c r="T35" i="36"/>
  <c r="Q35" i="36"/>
  <c r="P35" i="36"/>
  <c r="Y35" i="36"/>
  <c r="X35" i="36"/>
  <c r="AK35" i="36"/>
  <c r="AJ35" i="36"/>
  <c r="AG35" i="36"/>
  <c r="AF35" i="36"/>
  <c r="AC35" i="36"/>
  <c r="AB35" i="36"/>
  <c r="M35" i="36"/>
  <c r="L35" i="36"/>
  <c r="I35" i="36"/>
  <c r="H35" i="36"/>
  <c r="U34" i="36"/>
  <c r="T34" i="36"/>
  <c r="Q34" i="36"/>
  <c r="P34" i="36"/>
  <c r="Y34" i="36"/>
  <c r="X34" i="36"/>
  <c r="AK34" i="36"/>
  <c r="AJ34" i="36"/>
  <c r="AG34" i="36"/>
  <c r="AF34" i="36"/>
  <c r="AC34" i="36"/>
  <c r="AB34" i="36"/>
  <c r="M34" i="36"/>
  <c r="L34" i="36"/>
  <c r="I34" i="36"/>
  <c r="H34" i="36"/>
  <c r="U33" i="36"/>
  <c r="T33" i="36"/>
  <c r="Q33" i="36"/>
  <c r="P33" i="36"/>
  <c r="Y33" i="36"/>
  <c r="X33" i="36"/>
  <c r="AK33" i="36"/>
  <c r="AJ33" i="36"/>
  <c r="AG33" i="36"/>
  <c r="AF33" i="36"/>
  <c r="AC33" i="36"/>
  <c r="AB33" i="36"/>
  <c r="M33" i="36"/>
  <c r="L33" i="36"/>
  <c r="I33" i="36"/>
  <c r="H33" i="36"/>
  <c r="U32" i="36"/>
  <c r="T32" i="36"/>
  <c r="Q32" i="36"/>
  <c r="P32" i="36"/>
  <c r="Y32" i="36"/>
  <c r="X32" i="36"/>
  <c r="AK32" i="36"/>
  <c r="AJ32" i="36"/>
  <c r="AG32" i="36"/>
  <c r="AF32" i="36"/>
  <c r="AC32" i="36"/>
  <c r="AB32" i="36"/>
  <c r="M32" i="36"/>
  <c r="L32" i="36"/>
  <c r="I32" i="36"/>
  <c r="H32" i="36"/>
  <c r="U31" i="36"/>
  <c r="T31" i="36"/>
  <c r="Q31" i="36"/>
  <c r="P31" i="36"/>
  <c r="Y31" i="36"/>
  <c r="X31" i="36"/>
  <c r="AK31" i="36"/>
  <c r="AJ31" i="36"/>
  <c r="AG31" i="36"/>
  <c r="AF31" i="36"/>
  <c r="AC31" i="36"/>
  <c r="AB31" i="36"/>
  <c r="M31" i="36"/>
  <c r="L31" i="36"/>
  <c r="I31" i="36"/>
  <c r="H31" i="36"/>
  <c r="U30" i="36"/>
  <c r="T30" i="36"/>
  <c r="Q30" i="36"/>
  <c r="P30" i="36"/>
  <c r="Y30" i="36"/>
  <c r="X30" i="36"/>
  <c r="AK30" i="36"/>
  <c r="AJ30" i="36"/>
  <c r="AG30" i="36"/>
  <c r="AF30" i="36"/>
  <c r="AC30" i="36"/>
  <c r="AB30" i="36"/>
  <c r="M30" i="36"/>
  <c r="L30" i="36"/>
  <c r="I30" i="36"/>
  <c r="H30" i="36"/>
  <c r="U29" i="36"/>
  <c r="T29" i="36"/>
  <c r="Q29" i="36"/>
  <c r="P29" i="36"/>
  <c r="Y29" i="36"/>
  <c r="X29" i="36"/>
  <c r="AK29" i="36"/>
  <c r="AJ29" i="36"/>
  <c r="AG29" i="36"/>
  <c r="AF29" i="36"/>
  <c r="AC29" i="36"/>
  <c r="AB29" i="36"/>
  <c r="M29" i="36"/>
  <c r="L29" i="36"/>
  <c r="I29" i="36"/>
  <c r="H29" i="36"/>
  <c r="U28" i="36"/>
  <c r="T28" i="36"/>
  <c r="Q28" i="36"/>
  <c r="P28" i="36"/>
  <c r="Y28" i="36"/>
  <c r="X28" i="36"/>
  <c r="AK28" i="36"/>
  <c r="AJ28" i="36"/>
  <c r="AG28" i="36"/>
  <c r="AF28" i="36"/>
  <c r="AC28" i="36"/>
  <c r="AB28" i="36"/>
  <c r="M28" i="36"/>
  <c r="L28" i="36"/>
  <c r="I28" i="36"/>
  <c r="H28" i="36"/>
  <c r="U27" i="36"/>
  <c r="T27" i="36"/>
  <c r="Q27" i="36"/>
  <c r="P27" i="36"/>
  <c r="Y27" i="36"/>
  <c r="X27" i="36"/>
  <c r="AK27" i="36"/>
  <c r="AJ27" i="36"/>
  <c r="AG27" i="36"/>
  <c r="AF27" i="36"/>
  <c r="AC27" i="36"/>
  <c r="AB27" i="36"/>
  <c r="M27" i="36"/>
  <c r="L27" i="36"/>
  <c r="I27" i="36"/>
  <c r="H27" i="36"/>
  <c r="AG38" i="32"/>
  <c r="AF38" i="32"/>
  <c r="AC38" i="32"/>
  <c r="AB38" i="32"/>
  <c r="Y38" i="32"/>
  <c r="X38" i="32"/>
  <c r="U38" i="32"/>
  <c r="T38" i="32"/>
  <c r="Q38" i="32"/>
  <c r="P38" i="32"/>
  <c r="M38" i="32"/>
  <c r="L38" i="32"/>
  <c r="I38" i="32"/>
  <c r="H38" i="32"/>
  <c r="AG37" i="32"/>
  <c r="AF37" i="32"/>
  <c r="AC37" i="32"/>
  <c r="AB37" i="32"/>
  <c r="Y37" i="32"/>
  <c r="X37" i="32"/>
  <c r="U37" i="32"/>
  <c r="T37" i="32"/>
  <c r="Q37" i="32"/>
  <c r="P37" i="32"/>
  <c r="M37" i="32"/>
  <c r="L37" i="32"/>
  <c r="I37" i="32"/>
  <c r="H37" i="32"/>
  <c r="AG36" i="32"/>
  <c r="AF36" i="32"/>
  <c r="AC36" i="32"/>
  <c r="AB36" i="32"/>
  <c r="Y36" i="32"/>
  <c r="X36" i="32"/>
  <c r="U36" i="32"/>
  <c r="T36" i="32"/>
  <c r="Q36" i="32"/>
  <c r="P36" i="32"/>
  <c r="M36" i="32"/>
  <c r="L36" i="32"/>
  <c r="I36" i="32"/>
  <c r="H36" i="32"/>
  <c r="AG35" i="32"/>
  <c r="AF35" i="32"/>
  <c r="AC35" i="32"/>
  <c r="AB35" i="32"/>
  <c r="Y35" i="32"/>
  <c r="X35" i="32"/>
  <c r="U35" i="32"/>
  <c r="T35" i="32"/>
  <c r="Q35" i="32"/>
  <c r="P35" i="32"/>
  <c r="M35" i="32"/>
  <c r="L35" i="32"/>
  <c r="I35" i="32"/>
  <c r="H35" i="32"/>
  <c r="AG34" i="32"/>
  <c r="AF34" i="32"/>
  <c r="AC34" i="32"/>
  <c r="AB34" i="32"/>
  <c r="Y34" i="32"/>
  <c r="X34" i="32"/>
  <c r="U34" i="32"/>
  <c r="T34" i="32"/>
  <c r="Q34" i="32"/>
  <c r="P34" i="32"/>
  <c r="M34" i="32"/>
  <c r="L34" i="32"/>
  <c r="I34" i="32"/>
  <c r="H34" i="32"/>
  <c r="AG33" i="32"/>
  <c r="AF33" i="32"/>
  <c r="AC33" i="32"/>
  <c r="AB33" i="32"/>
  <c r="Y33" i="32"/>
  <c r="X33" i="32"/>
  <c r="U33" i="32"/>
  <c r="T33" i="32"/>
  <c r="Q33" i="32"/>
  <c r="P33" i="32"/>
  <c r="M33" i="32"/>
  <c r="L33" i="32"/>
  <c r="I33" i="32"/>
  <c r="H33" i="32"/>
  <c r="AG32" i="32"/>
  <c r="AF32" i="32"/>
  <c r="AC32" i="32"/>
  <c r="AB32" i="32"/>
  <c r="Y32" i="32"/>
  <c r="X32" i="32"/>
  <c r="U32" i="32"/>
  <c r="T32" i="32"/>
  <c r="Q32" i="32"/>
  <c r="P32" i="32"/>
  <c r="M32" i="32"/>
  <c r="L32" i="32"/>
  <c r="I32" i="32"/>
  <c r="H32" i="32"/>
  <c r="AG31" i="32"/>
  <c r="AF31" i="32"/>
  <c r="AC31" i="32"/>
  <c r="AB31" i="32"/>
  <c r="Y31" i="32"/>
  <c r="X31" i="32"/>
  <c r="U31" i="32"/>
  <c r="T31" i="32"/>
  <c r="Q31" i="32"/>
  <c r="P31" i="32"/>
  <c r="M31" i="32"/>
  <c r="L31" i="32"/>
  <c r="I31" i="32"/>
  <c r="H31" i="32"/>
  <c r="AG30" i="32"/>
  <c r="AF30" i="32"/>
  <c r="AC30" i="32"/>
  <c r="AB30" i="32"/>
  <c r="Y30" i="32"/>
  <c r="X30" i="32"/>
  <c r="U30" i="32"/>
  <c r="T30" i="32"/>
  <c r="Q30" i="32"/>
  <c r="P30" i="32"/>
  <c r="M30" i="32"/>
  <c r="L30" i="32"/>
  <c r="I30" i="32"/>
  <c r="H30" i="32"/>
  <c r="AG29" i="32"/>
  <c r="AF29" i="32"/>
  <c r="AC29" i="32"/>
  <c r="AB29" i="32"/>
  <c r="Y29" i="32"/>
  <c r="X29" i="32"/>
  <c r="U29" i="32"/>
  <c r="T29" i="32"/>
  <c r="Q29" i="32"/>
  <c r="P29" i="32"/>
  <c r="M29" i="32"/>
  <c r="L29" i="32"/>
  <c r="I29" i="32"/>
  <c r="H29" i="32"/>
  <c r="AG28" i="32"/>
  <c r="AF28" i="32"/>
  <c r="AC28" i="32"/>
  <c r="AB28" i="32"/>
  <c r="Y28" i="32"/>
  <c r="X28" i="32"/>
  <c r="U28" i="32"/>
  <c r="T28" i="32"/>
  <c r="Q28" i="32"/>
  <c r="P28" i="32"/>
  <c r="M28" i="32"/>
  <c r="L28" i="32"/>
  <c r="I28" i="32"/>
  <c r="H28" i="32"/>
  <c r="AG27" i="32"/>
  <c r="AF27" i="32"/>
  <c r="AC27" i="32"/>
  <c r="AB27" i="32"/>
  <c r="Y27" i="32"/>
  <c r="X27" i="32"/>
  <c r="U27" i="32"/>
  <c r="T27" i="32"/>
  <c r="Q27" i="32"/>
  <c r="P27" i="32"/>
  <c r="M27" i="32"/>
  <c r="L27" i="32"/>
  <c r="I27" i="32"/>
  <c r="H27" i="32"/>
  <c r="AG38" i="31"/>
  <c r="AF38" i="31"/>
  <c r="AC38" i="31"/>
  <c r="AB38" i="31"/>
  <c r="Y38" i="31"/>
  <c r="X38" i="31"/>
  <c r="U38" i="31"/>
  <c r="T38" i="31"/>
  <c r="Q38" i="31"/>
  <c r="P38" i="31"/>
  <c r="M38" i="31"/>
  <c r="L38" i="31"/>
  <c r="I38" i="31"/>
  <c r="H38" i="31"/>
  <c r="E38" i="31"/>
  <c r="D38" i="31"/>
  <c r="AG37" i="31"/>
  <c r="AF37" i="31"/>
  <c r="AC37" i="31"/>
  <c r="AB37" i="31"/>
  <c r="Y37" i="31"/>
  <c r="X37" i="31"/>
  <c r="U37" i="31"/>
  <c r="T37" i="31"/>
  <c r="Q37" i="31"/>
  <c r="P37" i="31"/>
  <c r="M37" i="31"/>
  <c r="L37" i="31"/>
  <c r="I37" i="31"/>
  <c r="H37" i="31"/>
  <c r="E37" i="31"/>
  <c r="D37" i="31"/>
  <c r="AG36" i="31"/>
  <c r="AF36" i="31"/>
  <c r="AC36" i="31"/>
  <c r="AB36" i="31"/>
  <c r="Y36" i="31"/>
  <c r="X36" i="31"/>
  <c r="U36" i="31"/>
  <c r="T36" i="31"/>
  <c r="Q36" i="31"/>
  <c r="P36" i="31"/>
  <c r="M36" i="31"/>
  <c r="L36" i="31"/>
  <c r="I36" i="31"/>
  <c r="H36" i="31"/>
  <c r="E36" i="31"/>
  <c r="D36" i="31"/>
  <c r="AG35" i="31"/>
  <c r="AF35" i="31"/>
  <c r="AC35" i="31"/>
  <c r="AB35" i="31"/>
  <c r="Y35" i="31"/>
  <c r="X35" i="31"/>
  <c r="U35" i="31"/>
  <c r="T35" i="31"/>
  <c r="Q35" i="31"/>
  <c r="P35" i="31"/>
  <c r="M35" i="31"/>
  <c r="L35" i="31"/>
  <c r="I35" i="31"/>
  <c r="H35" i="31"/>
  <c r="E35" i="31"/>
  <c r="D35" i="31"/>
  <c r="AG34" i="31"/>
  <c r="AF34" i="31"/>
  <c r="AC34" i="31"/>
  <c r="AB34" i="31"/>
  <c r="Y34" i="31"/>
  <c r="X34" i="31"/>
  <c r="U34" i="31"/>
  <c r="T34" i="31"/>
  <c r="Q34" i="31"/>
  <c r="P34" i="31"/>
  <c r="M34" i="31"/>
  <c r="L34" i="31"/>
  <c r="I34" i="31"/>
  <c r="H34" i="31"/>
  <c r="E34" i="31"/>
  <c r="D34" i="31"/>
  <c r="AG33" i="31"/>
  <c r="AF33" i="31"/>
  <c r="AC33" i="31"/>
  <c r="AB33" i="31"/>
  <c r="Y33" i="31"/>
  <c r="X33" i="31"/>
  <c r="U33" i="31"/>
  <c r="T33" i="31"/>
  <c r="Q33" i="31"/>
  <c r="P33" i="31"/>
  <c r="M33" i="31"/>
  <c r="L33" i="31"/>
  <c r="I33" i="31"/>
  <c r="H33" i="31"/>
  <c r="E33" i="31"/>
  <c r="D33" i="31"/>
  <c r="AG32" i="31"/>
  <c r="AF32" i="31"/>
  <c r="AC32" i="31"/>
  <c r="AB32" i="31"/>
  <c r="Y32" i="31"/>
  <c r="X32" i="31"/>
  <c r="U32" i="31"/>
  <c r="T32" i="31"/>
  <c r="Q32" i="31"/>
  <c r="P32" i="31"/>
  <c r="M32" i="31"/>
  <c r="L32" i="31"/>
  <c r="I32" i="31"/>
  <c r="H32" i="31"/>
  <c r="E32" i="31"/>
  <c r="D32" i="31"/>
  <c r="AG31" i="31"/>
  <c r="AF31" i="31"/>
  <c r="AC31" i="31"/>
  <c r="AB31" i="31"/>
  <c r="Y31" i="31"/>
  <c r="X31" i="31"/>
  <c r="U31" i="31"/>
  <c r="T31" i="31"/>
  <c r="Q31" i="31"/>
  <c r="P31" i="31"/>
  <c r="M31" i="31"/>
  <c r="L31" i="31"/>
  <c r="I31" i="31"/>
  <c r="H31" i="31"/>
  <c r="E31" i="31"/>
  <c r="D31" i="31"/>
  <c r="AG30" i="31"/>
  <c r="AF30" i="31"/>
  <c r="AC30" i="31"/>
  <c r="AB30" i="31"/>
  <c r="Y30" i="31"/>
  <c r="X30" i="31"/>
  <c r="U30" i="31"/>
  <c r="T30" i="31"/>
  <c r="Q30" i="31"/>
  <c r="P30" i="31"/>
  <c r="M30" i="31"/>
  <c r="L30" i="31"/>
  <c r="I30" i="31"/>
  <c r="H30" i="31"/>
  <c r="E30" i="31"/>
  <c r="D30" i="31"/>
  <c r="AG29" i="31"/>
  <c r="AF29" i="31"/>
  <c r="AC29" i="31"/>
  <c r="AB29" i="31"/>
  <c r="Y29" i="31"/>
  <c r="X29" i="31"/>
  <c r="U29" i="31"/>
  <c r="T29" i="31"/>
  <c r="Q29" i="31"/>
  <c r="P29" i="31"/>
  <c r="M29" i="31"/>
  <c r="L29" i="31"/>
  <c r="I29" i="31"/>
  <c r="H29" i="31"/>
  <c r="E29" i="31"/>
  <c r="D29" i="31"/>
  <c r="AG28" i="31"/>
  <c r="AF28" i="31"/>
  <c r="AC28" i="31"/>
  <c r="AB28" i="31"/>
  <c r="Y28" i="31"/>
  <c r="X28" i="31"/>
  <c r="U28" i="31"/>
  <c r="T28" i="31"/>
  <c r="Q28" i="31"/>
  <c r="P28" i="31"/>
  <c r="M28" i="31"/>
  <c r="L28" i="31"/>
  <c r="I28" i="31"/>
  <c r="H28" i="31"/>
  <c r="E28" i="31"/>
  <c r="D28" i="31"/>
  <c r="AG27" i="31"/>
  <c r="AF27" i="31"/>
  <c r="AC27" i="31"/>
  <c r="AB27" i="31"/>
  <c r="Y27" i="31"/>
  <c r="X27" i="31"/>
  <c r="U27" i="31"/>
  <c r="T27" i="31"/>
  <c r="Q27" i="31"/>
  <c r="P27" i="31"/>
  <c r="M27" i="31"/>
  <c r="L27" i="31"/>
  <c r="I27" i="31"/>
  <c r="H27" i="31"/>
  <c r="E27" i="31"/>
  <c r="D27" i="31"/>
  <c r="AG38" i="30"/>
  <c r="AF38" i="30"/>
  <c r="AC38" i="30"/>
  <c r="AB38" i="30"/>
  <c r="Y38" i="30"/>
  <c r="X38" i="30"/>
  <c r="U38" i="30"/>
  <c r="T38" i="30"/>
  <c r="Q38" i="30"/>
  <c r="P38" i="30"/>
  <c r="E38" i="30"/>
  <c r="D38" i="30"/>
  <c r="AG37" i="30"/>
  <c r="AF37" i="30"/>
  <c r="AC37" i="30"/>
  <c r="AB37" i="30"/>
  <c r="Y37" i="30"/>
  <c r="X37" i="30"/>
  <c r="U37" i="30"/>
  <c r="T37" i="30"/>
  <c r="Q37" i="30"/>
  <c r="P37" i="30"/>
  <c r="M37" i="30"/>
  <c r="E37" i="30"/>
  <c r="D37" i="30"/>
  <c r="AG36" i="30"/>
  <c r="AF36" i="30"/>
  <c r="AC36" i="30"/>
  <c r="AB36" i="30"/>
  <c r="Y36" i="30"/>
  <c r="X36" i="30"/>
  <c r="U36" i="30"/>
  <c r="T36" i="30"/>
  <c r="Q36" i="30"/>
  <c r="P36" i="30"/>
  <c r="L36" i="30"/>
  <c r="M36" i="30"/>
  <c r="E36" i="30"/>
  <c r="D36" i="30"/>
  <c r="AG35" i="30"/>
  <c r="AF35" i="30"/>
  <c r="AC35" i="30"/>
  <c r="AB35" i="30"/>
  <c r="Y35" i="30"/>
  <c r="X35" i="30"/>
  <c r="U35" i="30"/>
  <c r="T35" i="30"/>
  <c r="Q35" i="30"/>
  <c r="P35" i="30"/>
  <c r="E35" i="30"/>
  <c r="D35" i="30"/>
  <c r="AG34" i="30"/>
  <c r="AF34" i="30"/>
  <c r="AC34" i="30"/>
  <c r="AB34" i="30"/>
  <c r="Y34" i="30"/>
  <c r="X34" i="30"/>
  <c r="U34" i="30"/>
  <c r="T34" i="30"/>
  <c r="Q34" i="30"/>
  <c r="P34" i="30"/>
  <c r="L34" i="30"/>
  <c r="M34" i="30"/>
  <c r="E34" i="30"/>
  <c r="D34" i="30"/>
  <c r="AG33" i="30"/>
  <c r="AF33" i="30"/>
  <c r="AC33" i="30"/>
  <c r="AB33" i="30"/>
  <c r="Y33" i="30"/>
  <c r="X33" i="30"/>
  <c r="U33" i="30"/>
  <c r="T33" i="30"/>
  <c r="Q33" i="30"/>
  <c r="P33" i="30"/>
  <c r="E33" i="30"/>
  <c r="D33" i="30"/>
  <c r="AG32" i="30"/>
  <c r="AF32" i="30"/>
  <c r="AC32" i="30"/>
  <c r="AB32" i="30"/>
  <c r="Y32" i="30"/>
  <c r="X32" i="30"/>
  <c r="U32" i="30"/>
  <c r="T32" i="30"/>
  <c r="Q32" i="30"/>
  <c r="P32" i="30"/>
  <c r="L32" i="30"/>
  <c r="M32" i="30"/>
  <c r="E32" i="30"/>
  <c r="D32" i="30"/>
  <c r="AG31" i="30"/>
  <c r="AF31" i="30"/>
  <c r="AC31" i="30"/>
  <c r="AB31" i="30"/>
  <c r="Y31" i="30"/>
  <c r="X31" i="30"/>
  <c r="U31" i="30"/>
  <c r="T31" i="30"/>
  <c r="Q31" i="30"/>
  <c r="P31" i="30"/>
  <c r="E31" i="30"/>
  <c r="D31" i="30"/>
  <c r="AG30" i="30"/>
  <c r="AF30" i="30"/>
  <c r="AC30" i="30"/>
  <c r="AB30" i="30"/>
  <c r="Y30" i="30"/>
  <c r="X30" i="30"/>
  <c r="U30" i="30"/>
  <c r="T30" i="30"/>
  <c r="Q30" i="30"/>
  <c r="P30" i="30"/>
  <c r="L30" i="30"/>
  <c r="M30" i="30"/>
  <c r="E30" i="30"/>
  <c r="D30" i="30"/>
  <c r="AG29" i="30"/>
  <c r="AF29" i="30"/>
  <c r="AC29" i="30"/>
  <c r="AB29" i="30"/>
  <c r="Y29" i="30"/>
  <c r="X29" i="30"/>
  <c r="U29" i="30"/>
  <c r="T29" i="30"/>
  <c r="Q29" i="30"/>
  <c r="P29" i="30"/>
  <c r="E29" i="30"/>
  <c r="D29" i="30"/>
  <c r="AG28" i="30"/>
  <c r="AF28" i="30"/>
  <c r="AC28" i="30"/>
  <c r="AB28" i="30"/>
  <c r="Y28" i="30"/>
  <c r="X28" i="30"/>
  <c r="U28" i="30"/>
  <c r="T28" i="30"/>
  <c r="Q28" i="30"/>
  <c r="P28" i="30"/>
  <c r="L28" i="30"/>
  <c r="M28" i="30"/>
  <c r="E28" i="30"/>
  <c r="D28" i="30"/>
  <c r="AG27" i="30"/>
  <c r="AF27" i="30"/>
  <c r="AC27" i="30"/>
  <c r="AB27" i="30"/>
  <c r="Y27" i="30"/>
  <c r="X27" i="30"/>
  <c r="U27" i="30"/>
  <c r="T27" i="30"/>
  <c r="Q27" i="30"/>
  <c r="P27" i="30"/>
  <c r="E27" i="30"/>
  <c r="D27" i="30"/>
  <c r="AO38" i="29"/>
  <c r="AN38" i="29"/>
  <c r="AK38" i="29"/>
  <c r="AJ38" i="29"/>
  <c r="AG38" i="29"/>
  <c r="AF38" i="29"/>
  <c r="AC38" i="29"/>
  <c r="AB38" i="29"/>
  <c r="Y38" i="29"/>
  <c r="X38" i="29"/>
  <c r="U38" i="29"/>
  <c r="T38" i="29"/>
  <c r="Q38" i="29"/>
  <c r="P38" i="29"/>
  <c r="M38" i="29"/>
  <c r="L38" i="29"/>
  <c r="I38" i="29"/>
  <c r="H38" i="29"/>
  <c r="E38" i="29"/>
  <c r="D38" i="29"/>
  <c r="AO37" i="29"/>
  <c r="AN37" i="29"/>
  <c r="AK37" i="29"/>
  <c r="AJ37" i="29"/>
  <c r="AG37" i="29"/>
  <c r="AF37" i="29"/>
  <c r="AC37" i="29"/>
  <c r="AB37" i="29"/>
  <c r="Y37" i="29"/>
  <c r="X37" i="29"/>
  <c r="U37" i="29"/>
  <c r="T37" i="29"/>
  <c r="Q37" i="29"/>
  <c r="P37" i="29"/>
  <c r="M37" i="29"/>
  <c r="L37" i="29"/>
  <c r="I37" i="29"/>
  <c r="H37" i="29"/>
  <c r="E37" i="29"/>
  <c r="D37" i="29"/>
  <c r="AO36" i="29"/>
  <c r="AN36" i="29"/>
  <c r="AK36" i="29"/>
  <c r="AJ36" i="29"/>
  <c r="AG36" i="29"/>
  <c r="AF36" i="29"/>
  <c r="AC36" i="29"/>
  <c r="AB36" i="29"/>
  <c r="Y36" i="29"/>
  <c r="X36" i="29"/>
  <c r="U36" i="29"/>
  <c r="T36" i="29"/>
  <c r="Q36" i="29"/>
  <c r="P36" i="29"/>
  <c r="M36" i="29"/>
  <c r="L36" i="29"/>
  <c r="I36" i="29"/>
  <c r="H36" i="29"/>
  <c r="E36" i="29"/>
  <c r="D36" i="29"/>
  <c r="AO35" i="29"/>
  <c r="AN35" i="29"/>
  <c r="AK35" i="29"/>
  <c r="AJ35" i="29"/>
  <c r="AG35" i="29"/>
  <c r="AF35" i="29"/>
  <c r="AC35" i="29"/>
  <c r="AB35" i="29"/>
  <c r="Y35" i="29"/>
  <c r="X35" i="29"/>
  <c r="U35" i="29"/>
  <c r="T35" i="29"/>
  <c r="Q35" i="29"/>
  <c r="P35" i="29"/>
  <c r="M35" i="29"/>
  <c r="L35" i="29"/>
  <c r="I35" i="29"/>
  <c r="H35" i="29"/>
  <c r="E35" i="29"/>
  <c r="D35" i="29"/>
  <c r="AO34" i="29"/>
  <c r="AN34" i="29"/>
  <c r="AK34" i="29"/>
  <c r="AJ34" i="29"/>
  <c r="AG34" i="29"/>
  <c r="AF34" i="29"/>
  <c r="AC34" i="29"/>
  <c r="AB34" i="29"/>
  <c r="Y34" i="29"/>
  <c r="X34" i="29"/>
  <c r="U34" i="29"/>
  <c r="T34" i="29"/>
  <c r="Q34" i="29"/>
  <c r="P34" i="29"/>
  <c r="M34" i="29"/>
  <c r="L34" i="29"/>
  <c r="I34" i="29"/>
  <c r="H34" i="29"/>
  <c r="E34" i="29"/>
  <c r="D34" i="29"/>
  <c r="AO33" i="29"/>
  <c r="AN33" i="29"/>
  <c r="AK33" i="29"/>
  <c r="AJ33" i="29"/>
  <c r="AG33" i="29"/>
  <c r="AF33" i="29"/>
  <c r="AC33" i="29"/>
  <c r="AB33" i="29"/>
  <c r="Y33" i="29"/>
  <c r="X33" i="29"/>
  <c r="U33" i="29"/>
  <c r="T33" i="29"/>
  <c r="Q33" i="29"/>
  <c r="P33" i="29"/>
  <c r="M33" i="29"/>
  <c r="L33" i="29"/>
  <c r="I33" i="29"/>
  <c r="H33" i="29"/>
  <c r="E33" i="29"/>
  <c r="D33" i="29"/>
  <c r="AO32" i="29"/>
  <c r="AN32" i="29"/>
  <c r="AK32" i="29"/>
  <c r="AJ32" i="29"/>
  <c r="AG32" i="29"/>
  <c r="AF32" i="29"/>
  <c r="AC32" i="29"/>
  <c r="AB32" i="29"/>
  <c r="Y32" i="29"/>
  <c r="X32" i="29"/>
  <c r="U32" i="29"/>
  <c r="T32" i="29"/>
  <c r="Q32" i="29"/>
  <c r="P32" i="29"/>
  <c r="M32" i="29"/>
  <c r="L32" i="29"/>
  <c r="I32" i="29"/>
  <c r="H32" i="29"/>
  <c r="E32" i="29"/>
  <c r="D32" i="29"/>
  <c r="AO31" i="29"/>
  <c r="AN31" i="29"/>
  <c r="AK31" i="29"/>
  <c r="AJ31" i="29"/>
  <c r="AG31" i="29"/>
  <c r="AF31" i="29"/>
  <c r="AC31" i="29"/>
  <c r="AB31" i="29"/>
  <c r="Y31" i="29"/>
  <c r="X31" i="29"/>
  <c r="U31" i="29"/>
  <c r="T31" i="29"/>
  <c r="Q31" i="29"/>
  <c r="P31" i="29"/>
  <c r="M31" i="29"/>
  <c r="L31" i="29"/>
  <c r="I31" i="29"/>
  <c r="H31" i="29"/>
  <c r="E31" i="29"/>
  <c r="D31" i="29"/>
  <c r="AO30" i="29"/>
  <c r="AN30" i="29"/>
  <c r="AK30" i="29"/>
  <c r="AJ30" i="29"/>
  <c r="AG30" i="29"/>
  <c r="AF30" i="29"/>
  <c r="AC30" i="29"/>
  <c r="AB30" i="29"/>
  <c r="Y30" i="29"/>
  <c r="X30" i="29"/>
  <c r="U30" i="29"/>
  <c r="T30" i="29"/>
  <c r="Q30" i="29"/>
  <c r="P30" i="29"/>
  <c r="M30" i="29"/>
  <c r="L30" i="29"/>
  <c r="I30" i="29"/>
  <c r="H30" i="29"/>
  <c r="E30" i="29"/>
  <c r="D30" i="29"/>
  <c r="AO29" i="29"/>
  <c r="AN29" i="29"/>
  <c r="AK29" i="29"/>
  <c r="AJ29" i="29"/>
  <c r="AG29" i="29"/>
  <c r="AF29" i="29"/>
  <c r="AC29" i="29"/>
  <c r="AB29" i="29"/>
  <c r="Y29" i="29"/>
  <c r="X29" i="29"/>
  <c r="U29" i="29"/>
  <c r="T29" i="29"/>
  <c r="Q29" i="29"/>
  <c r="P29" i="29"/>
  <c r="M29" i="29"/>
  <c r="L29" i="29"/>
  <c r="I29" i="29"/>
  <c r="H29" i="29"/>
  <c r="E29" i="29"/>
  <c r="D29" i="29"/>
  <c r="AO28" i="29"/>
  <c r="AN28" i="29"/>
  <c r="AK28" i="29"/>
  <c r="AJ28" i="29"/>
  <c r="AG28" i="29"/>
  <c r="AF28" i="29"/>
  <c r="AC28" i="29"/>
  <c r="AB28" i="29"/>
  <c r="Y28" i="29"/>
  <c r="X28" i="29"/>
  <c r="U28" i="29"/>
  <c r="T28" i="29"/>
  <c r="Q28" i="29"/>
  <c r="P28" i="29"/>
  <c r="M28" i="29"/>
  <c r="L28" i="29"/>
  <c r="I28" i="29"/>
  <c r="H28" i="29"/>
  <c r="E28" i="29"/>
  <c r="D28" i="29"/>
  <c r="AO27" i="29"/>
  <c r="AN27" i="29"/>
  <c r="AK27" i="29"/>
  <c r="AJ27" i="29"/>
  <c r="AG27" i="29"/>
  <c r="AF27" i="29"/>
  <c r="AC27" i="29"/>
  <c r="AB27" i="29"/>
  <c r="Y27" i="29"/>
  <c r="X27" i="29"/>
  <c r="U27" i="29"/>
  <c r="T27" i="29"/>
  <c r="Q27" i="29"/>
  <c r="P27" i="29"/>
  <c r="M27" i="29"/>
  <c r="L27" i="29"/>
  <c r="I27" i="29"/>
  <c r="H27" i="29"/>
  <c r="E27" i="29"/>
  <c r="D27" i="29"/>
  <c r="AO38" i="28"/>
  <c r="AN38" i="28"/>
  <c r="AK38" i="28"/>
  <c r="AJ38" i="28"/>
  <c r="AG38" i="28"/>
  <c r="AF38" i="28"/>
  <c r="AC38" i="28"/>
  <c r="AB38" i="28"/>
  <c r="Y38" i="28"/>
  <c r="X38" i="28"/>
  <c r="U38" i="28"/>
  <c r="T38" i="28"/>
  <c r="Q38" i="28"/>
  <c r="P38" i="28"/>
  <c r="M38" i="28"/>
  <c r="L38" i="28"/>
  <c r="I38" i="28"/>
  <c r="H38" i="28"/>
  <c r="AO37" i="28"/>
  <c r="AN37" i="28"/>
  <c r="AK37" i="28"/>
  <c r="AJ37" i="28"/>
  <c r="AG37" i="28"/>
  <c r="AF37" i="28"/>
  <c r="AC37" i="28"/>
  <c r="AB37" i="28"/>
  <c r="Y37" i="28"/>
  <c r="X37" i="28"/>
  <c r="U37" i="28"/>
  <c r="T37" i="28"/>
  <c r="Q37" i="28"/>
  <c r="P37" i="28"/>
  <c r="M37" i="28"/>
  <c r="L37" i="28"/>
  <c r="I37" i="28"/>
  <c r="H37" i="28"/>
  <c r="AO36" i="28"/>
  <c r="AN36" i="28"/>
  <c r="AK36" i="28"/>
  <c r="AJ36" i="28"/>
  <c r="AG36" i="28"/>
  <c r="AF36" i="28"/>
  <c r="AC36" i="28"/>
  <c r="AB36" i="28"/>
  <c r="Y36" i="28"/>
  <c r="X36" i="28"/>
  <c r="U36" i="28"/>
  <c r="T36" i="28"/>
  <c r="Q36" i="28"/>
  <c r="P36" i="28"/>
  <c r="M36" i="28"/>
  <c r="L36" i="28"/>
  <c r="I36" i="28"/>
  <c r="H36" i="28"/>
  <c r="AO35" i="28"/>
  <c r="AN35" i="28"/>
  <c r="AK35" i="28"/>
  <c r="AJ35" i="28"/>
  <c r="AG35" i="28"/>
  <c r="AF35" i="28"/>
  <c r="AC35" i="28"/>
  <c r="AB35" i="28"/>
  <c r="Y35" i="28"/>
  <c r="X35" i="28"/>
  <c r="U35" i="28"/>
  <c r="T35" i="28"/>
  <c r="Q35" i="28"/>
  <c r="P35" i="28"/>
  <c r="M35" i="28"/>
  <c r="L35" i="28"/>
  <c r="I35" i="28"/>
  <c r="H35" i="28"/>
  <c r="AO34" i="28"/>
  <c r="AN34" i="28"/>
  <c r="AK34" i="28"/>
  <c r="AJ34" i="28"/>
  <c r="AG34" i="28"/>
  <c r="AF34" i="28"/>
  <c r="AC34" i="28"/>
  <c r="AB34" i="28"/>
  <c r="Y34" i="28"/>
  <c r="X34" i="28"/>
  <c r="U34" i="28"/>
  <c r="T34" i="28"/>
  <c r="Q34" i="28"/>
  <c r="P34" i="28"/>
  <c r="M34" i="28"/>
  <c r="L34" i="28"/>
  <c r="I34" i="28"/>
  <c r="H34" i="28"/>
  <c r="AO33" i="28"/>
  <c r="AN33" i="28"/>
  <c r="AK33" i="28"/>
  <c r="AJ33" i="28"/>
  <c r="AG33" i="28"/>
  <c r="AF33" i="28"/>
  <c r="AC33" i="28"/>
  <c r="AB33" i="28"/>
  <c r="Y33" i="28"/>
  <c r="X33" i="28"/>
  <c r="U33" i="28"/>
  <c r="T33" i="28"/>
  <c r="Q33" i="28"/>
  <c r="P33" i="28"/>
  <c r="M33" i="28"/>
  <c r="L33" i="28"/>
  <c r="I33" i="28"/>
  <c r="H33" i="28"/>
  <c r="AO32" i="28"/>
  <c r="AN32" i="28"/>
  <c r="AK32" i="28"/>
  <c r="AJ32" i="28"/>
  <c r="AG32" i="28"/>
  <c r="AF32" i="28"/>
  <c r="AC32" i="28"/>
  <c r="AB32" i="28"/>
  <c r="Y32" i="28"/>
  <c r="X32" i="28"/>
  <c r="U32" i="28"/>
  <c r="T32" i="28"/>
  <c r="Q32" i="28"/>
  <c r="P32" i="28"/>
  <c r="M32" i="28"/>
  <c r="L32" i="28"/>
  <c r="I32" i="28"/>
  <c r="H32" i="28"/>
  <c r="AO31" i="28"/>
  <c r="AN31" i="28"/>
  <c r="AK31" i="28"/>
  <c r="AJ31" i="28"/>
  <c r="AG31" i="28"/>
  <c r="AF31" i="28"/>
  <c r="AC31" i="28"/>
  <c r="AB31" i="28"/>
  <c r="Y31" i="28"/>
  <c r="X31" i="28"/>
  <c r="U31" i="28"/>
  <c r="T31" i="28"/>
  <c r="Q31" i="28"/>
  <c r="P31" i="28"/>
  <c r="M31" i="28"/>
  <c r="L31" i="28"/>
  <c r="I31" i="28"/>
  <c r="H31" i="28"/>
  <c r="AO30" i="28"/>
  <c r="AN30" i="28"/>
  <c r="AK30" i="28"/>
  <c r="AJ30" i="28"/>
  <c r="AG30" i="28"/>
  <c r="AF30" i="28"/>
  <c r="AC30" i="28"/>
  <c r="AB30" i="28"/>
  <c r="Y30" i="28"/>
  <c r="X30" i="28"/>
  <c r="U30" i="28"/>
  <c r="T30" i="28"/>
  <c r="Q30" i="28"/>
  <c r="P30" i="28"/>
  <c r="M30" i="28"/>
  <c r="L30" i="28"/>
  <c r="I30" i="28"/>
  <c r="H30" i="28"/>
  <c r="AO29" i="28"/>
  <c r="AN29" i="28"/>
  <c r="AK29" i="28"/>
  <c r="AJ29" i="28"/>
  <c r="AG29" i="28"/>
  <c r="AF29" i="28"/>
  <c r="AC29" i="28"/>
  <c r="AB29" i="28"/>
  <c r="Y29" i="28"/>
  <c r="X29" i="28"/>
  <c r="U29" i="28"/>
  <c r="T29" i="28"/>
  <c r="Q29" i="28"/>
  <c r="P29" i="28"/>
  <c r="M29" i="28"/>
  <c r="L29" i="28"/>
  <c r="I29" i="28"/>
  <c r="H29" i="28"/>
  <c r="AO28" i="28"/>
  <c r="AN28" i="28"/>
  <c r="AK28" i="28"/>
  <c r="AJ28" i="28"/>
  <c r="AG28" i="28"/>
  <c r="AF28" i="28"/>
  <c r="AC28" i="28"/>
  <c r="AB28" i="28"/>
  <c r="Y28" i="28"/>
  <c r="X28" i="28"/>
  <c r="U28" i="28"/>
  <c r="T28" i="28"/>
  <c r="Q28" i="28"/>
  <c r="P28" i="28"/>
  <c r="M28" i="28"/>
  <c r="L28" i="28"/>
  <c r="I28" i="28"/>
  <c r="H28" i="28"/>
  <c r="AO27" i="28"/>
  <c r="AN27" i="28"/>
  <c r="AK27" i="28"/>
  <c r="AJ27" i="28"/>
  <c r="AG27" i="28"/>
  <c r="AF27" i="28"/>
  <c r="AC27" i="28"/>
  <c r="AB27" i="28"/>
  <c r="Y27" i="28"/>
  <c r="X27" i="28"/>
  <c r="U27" i="28"/>
  <c r="T27" i="28"/>
  <c r="Q27" i="28"/>
  <c r="P27" i="28"/>
  <c r="M27" i="28"/>
  <c r="L27" i="28"/>
  <c r="I27" i="28"/>
  <c r="H27" i="28"/>
  <c r="AO38" i="27"/>
  <c r="AN38" i="27"/>
  <c r="AK38" i="27"/>
  <c r="AJ38" i="27"/>
  <c r="AG38" i="27"/>
  <c r="AF38" i="27"/>
  <c r="AC38" i="27"/>
  <c r="AB38" i="27"/>
  <c r="Y38" i="27"/>
  <c r="X38" i="27"/>
  <c r="U38" i="27"/>
  <c r="T38" i="27"/>
  <c r="Q38" i="27"/>
  <c r="P38" i="27"/>
  <c r="M38" i="27"/>
  <c r="L38" i="27"/>
  <c r="I38" i="27"/>
  <c r="H38" i="27"/>
  <c r="AO37" i="27"/>
  <c r="AN37" i="27"/>
  <c r="AK37" i="27"/>
  <c r="AJ37" i="27"/>
  <c r="AG37" i="27"/>
  <c r="AF37" i="27"/>
  <c r="AC37" i="27"/>
  <c r="AB37" i="27"/>
  <c r="Y37" i="27"/>
  <c r="X37" i="27"/>
  <c r="U37" i="27"/>
  <c r="T37" i="27"/>
  <c r="Q37" i="27"/>
  <c r="P37" i="27"/>
  <c r="M37" i="27"/>
  <c r="L37" i="27"/>
  <c r="I37" i="27"/>
  <c r="H37" i="27"/>
  <c r="AO36" i="27"/>
  <c r="AN36" i="27"/>
  <c r="AK36" i="27"/>
  <c r="AJ36" i="27"/>
  <c r="AG36" i="27"/>
  <c r="AF36" i="27"/>
  <c r="AC36" i="27"/>
  <c r="AB36" i="27"/>
  <c r="Y36" i="27"/>
  <c r="X36" i="27"/>
  <c r="U36" i="27"/>
  <c r="T36" i="27"/>
  <c r="Q36" i="27"/>
  <c r="P36" i="27"/>
  <c r="M36" i="27"/>
  <c r="L36" i="27"/>
  <c r="I36" i="27"/>
  <c r="H36" i="27"/>
  <c r="AO35" i="27"/>
  <c r="AN35" i="27"/>
  <c r="AK35" i="27"/>
  <c r="AJ35" i="27"/>
  <c r="AG35" i="27"/>
  <c r="AF35" i="27"/>
  <c r="AC35" i="27"/>
  <c r="AB35" i="27"/>
  <c r="Y35" i="27"/>
  <c r="X35" i="27"/>
  <c r="U35" i="27"/>
  <c r="T35" i="27"/>
  <c r="Q35" i="27"/>
  <c r="P35" i="27"/>
  <c r="M35" i="27"/>
  <c r="L35" i="27"/>
  <c r="I35" i="27"/>
  <c r="H35" i="27"/>
  <c r="AO34" i="27"/>
  <c r="AN34" i="27"/>
  <c r="AK34" i="27"/>
  <c r="AJ34" i="27"/>
  <c r="AG34" i="27"/>
  <c r="AF34" i="27"/>
  <c r="AC34" i="27"/>
  <c r="AB34" i="27"/>
  <c r="Y34" i="27"/>
  <c r="X34" i="27"/>
  <c r="U34" i="27"/>
  <c r="T34" i="27"/>
  <c r="Q34" i="27"/>
  <c r="P34" i="27"/>
  <c r="M34" i="27"/>
  <c r="L34" i="27"/>
  <c r="I34" i="27"/>
  <c r="H34" i="27"/>
  <c r="AO33" i="27"/>
  <c r="AN33" i="27"/>
  <c r="AK33" i="27"/>
  <c r="AJ33" i="27"/>
  <c r="AG33" i="27"/>
  <c r="AF33" i="27"/>
  <c r="AC33" i="27"/>
  <c r="AB33" i="27"/>
  <c r="Y33" i="27"/>
  <c r="X33" i="27"/>
  <c r="U33" i="27"/>
  <c r="T33" i="27"/>
  <c r="Q33" i="27"/>
  <c r="P33" i="27"/>
  <c r="M33" i="27"/>
  <c r="L33" i="27"/>
  <c r="I33" i="27"/>
  <c r="H33" i="27"/>
  <c r="AO32" i="27"/>
  <c r="AN32" i="27"/>
  <c r="AK32" i="27"/>
  <c r="AJ32" i="27"/>
  <c r="AG32" i="27"/>
  <c r="AF32" i="27"/>
  <c r="AC32" i="27"/>
  <c r="AB32" i="27"/>
  <c r="Y32" i="27"/>
  <c r="X32" i="27"/>
  <c r="U32" i="27"/>
  <c r="T32" i="27"/>
  <c r="Q32" i="27"/>
  <c r="P32" i="27"/>
  <c r="M32" i="27"/>
  <c r="L32" i="27"/>
  <c r="I32" i="27"/>
  <c r="H32" i="27"/>
  <c r="AO31" i="27"/>
  <c r="AN31" i="27"/>
  <c r="AK31" i="27"/>
  <c r="AJ31" i="27"/>
  <c r="AG31" i="27"/>
  <c r="AF31" i="27"/>
  <c r="AC31" i="27"/>
  <c r="AB31" i="27"/>
  <c r="Y31" i="27"/>
  <c r="X31" i="27"/>
  <c r="U31" i="27"/>
  <c r="T31" i="27"/>
  <c r="Q31" i="27"/>
  <c r="P31" i="27"/>
  <c r="M31" i="27"/>
  <c r="L31" i="27"/>
  <c r="I31" i="27"/>
  <c r="H31" i="27"/>
  <c r="AO30" i="27"/>
  <c r="AN30" i="27"/>
  <c r="AK30" i="27"/>
  <c r="AJ30" i="27"/>
  <c r="AG30" i="27"/>
  <c r="AF30" i="27"/>
  <c r="AC30" i="27"/>
  <c r="AB30" i="27"/>
  <c r="Y30" i="27"/>
  <c r="X30" i="27"/>
  <c r="U30" i="27"/>
  <c r="T30" i="27"/>
  <c r="Q30" i="27"/>
  <c r="P30" i="27"/>
  <c r="M30" i="27"/>
  <c r="L30" i="27"/>
  <c r="I30" i="27"/>
  <c r="H30" i="27"/>
  <c r="AO29" i="27"/>
  <c r="AN29" i="27"/>
  <c r="AK29" i="27"/>
  <c r="AJ29" i="27"/>
  <c r="AG29" i="27"/>
  <c r="AF29" i="27"/>
  <c r="AC29" i="27"/>
  <c r="AB29" i="27"/>
  <c r="Y29" i="27"/>
  <c r="X29" i="27"/>
  <c r="U29" i="27"/>
  <c r="T29" i="27"/>
  <c r="Q29" i="27"/>
  <c r="P29" i="27"/>
  <c r="M29" i="27"/>
  <c r="L29" i="27"/>
  <c r="I29" i="27"/>
  <c r="H29" i="27"/>
  <c r="AO28" i="27"/>
  <c r="AN28" i="27"/>
  <c r="AK28" i="27"/>
  <c r="AJ28" i="27"/>
  <c r="AG28" i="27"/>
  <c r="AF28" i="27"/>
  <c r="AC28" i="27"/>
  <c r="AB28" i="27"/>
  <c r="Y28" i="27"/>
  <c r="X28" i="27"/>
  <c r="U28" i="27"/>
  <c r="T28" i="27"/>
  <c r="Q28" i="27"/>
  <c r="P28" i="27"/>
  <c r="M28" i="27"/>
  <c r="L28" i="27"/>
  <c r="I28" i="27"/>
  <c r="H28" i="27"/>
  <c r="AO27" i="27"/>
  <c r="AN27" i="27"/>
  <c r="AK27" i="27"/>
  <c r="AJ27" i="27"/>
  <c r="AG27" i="27"/>
  <c r="AF27" i="27"/>
  <c r="AC27" i="27"/>
  <c r="AB27" i="27"/>
  <c r="Y27" i="27"/>
  <c r="X27" i="27"/>
  <c r="U27" i="27"/>
  <c r="T27" i="27"/>
  <c r="Q27" i="27"/>
  <c r="P27" i="27"/>
  <c r="M27" i="27"/>
  <c r="L27" i="27"/>
  <c r="I27" i="27"/>
  <c r="H27" i="27"/>
  <c r="AO38" i="26"/>
  <c r="AN38" i="26"/>
  <c r="AK38" i="26"/>
  <c r="AJ38" i="26"/>
  <c r="AG38" i="26"/>
  <c r="AF38" i="26"/>
  <c r="AC38" i="26"/>
  <c r="AB38" i="26"/>
  <c r="Y38" i="26"/>
  <c r="X38" i="26"/>
  <c r="U38" i="26"/>
  <c r="T38" i="26"/>
  <c r="Q38" i="26"/>
  <c r="P38" i="26"/>
  <c r="M38" i="26"/>
  <c r="L38" i="26"/>
  <c r="I38" i="26"/>
  <c r="H38" i="26"/>
  <c r="E38" i="26"/>
  <c r="D38" i="26"/>
  <c r="AO37" i="26"/>
  <c r="AN37" i="26"/>
  <c r="AK37" i="26"/>
  <c r="AJ37" i="26"/>
  <c r="AG37" i="26"/>
  <c r="AF37" i="26"/>
  <c r="AC37" i="26"/>
  <c r="AB37" i="26"/>
  <c r="Y37" i="26"/>
  <c r="X37" i="26"/>
  <c r="U37" i="26"/>
  <c r="T37" i="26"/>
  <c r="Q37" i="26"/>
  <c r="P37" i="26"/>
  <c r="M37" i="26"/>
  <c r="L37" i="26"/>
  <c r="I37" i="26"/>
  <c r="H37" i="26"/>
  <c r="E37" i="26"/>
  <c r="D37" i="26"/>
  <c r="AO36" i="26"/>
  <c r="AN36" i="26"/>
  <c r="AK36" i="26"/>
  <c r="AJ36" i="26"/>
  <c r="AG36" i="26"/>
  <c r="AF36" i="26"/>
  <c r="AC36" i="26"/>
  <c r="AB36" i="26"/>
  <c r="Y36" i="26"/>
  <c r="X36" i="26"/>
  <c r="U36" i="26"/>
  <c r="T36" i="26"/>
  <c r="Q36" i="26"/>
  <c r="P36" i="26"/>
  <c r="M36" i="26"/>
  <c r="L36" i="26"/>
  <c r="I36" i="26"/>
  <c r="H36" i="26"/>
  <c r="E36" i="26"/>
  <c r="D36" i="26"/>
  <c r="AO35" i="26"/>
  <c r="AN35" i="26"/>
  <c r="AK35" i="26"/>
  <c r="AJ35" i="26"/>
  <c r="AG35" i="26"/>
  <c r="AF35" i="26"/>
  <c r="AC35" i="26"/>
  <c r="AB35" i="26"/>
  <c r="Y35" i="26"/>
  <c r="X35" i="26"/>
  <c r="U35" i="26"/>
  <c r="T35" i="26"/>
  <c r="Q35" i="26"/>
  <c r="P35" i="26"/>
  <c r="M35" i="26"/>
  <c r="L35" i="26"/>
  <c r="I35" i="26"/>
  <c r="H35" i="26"/>
  <c r="E35" i="26"/>
  <c r="D35" i="26"/>
  <c r="AO34" i="26"/>
  <c r="AN34" i="26"/>
  <c r="AK34" i="26"/>
  <c r="AJ34" i="26"/>
  <c r="AG34" i="26"/>
  <c r="AF34" i="26"/>
  <c r="AC34" i="26"/>
  <c r="AB34" i="26"/>
  <c r="Y34" i="26"/>
  <c r="X34" i="26"/>
  <c r="U34" i="26"/>
  <c r="T34" i="26"/>
  <c r="Q34" i="26"/>
  <c r="P34" i="26"/>
  <c r="M34" i="26"/>
  <c r="L34" i="26"/>
  <c r="I34" i="26"/>
  <c r="H34" i="26"/>
  <c r="E34" i="26"/>
  <c r="D34" i="26"/>
  <c r="AO33" i="26"/>
  <c r="AN33" i="26"/>
  <c r="AK33" i="26"/>
  <c r="AJ33" i="26"/>
  <c r="AG33" i="26"/>
  <c r="AF33" i="26"/>
  <c r="AC33" i="26"/>
  <c r="AB33" i="26"/>
  <c r="Y33" i="26"/>
  <c r="X33" i="26"/>
  <c r="U33" i="26"/>
  <c r="T33" i="26"/>
  <c r="Q33" i="26"/>
  <c r="P33" i="26"/>
  <c r="M33" i="26"/>
  <c r="L33" i="26"/>
  <c r="I33" i="26"/>
  <c r="H33" i="26"/>
  <c r="E33" i="26"/>
  <c r="D33" i="26"/>
  <c r="AO32" i="26"/>
  <c r="AN32" i="26"/>
  <c r="AK32" i="26"/>
  <c r="AJ32" i="26"/>
  <c r="AG32" i="26"/>
  <c r="AF32" i="26"/>
  <c r="AC32" i="26"/>
  <c r="AB32" i="26"/>
  <c r="Y32" i="26"/>
  <c r="X32" i="26"/>
  <c r="U32" i="26"/>
  <c r="T32" i="26"/>
  <c r="Q32" i="26"/>
  <c r="P32" i="26"/>
  <c r="M32" i="26"/>
  <c r="L32" i="26"/>
  <c r="I32" i="26"/>
  <c r="H32" i="26"/>
  <c r="E32" i="26"/>
  <c r="D32" i="26"/>
  <c r="AO31" i="26"/>
  <c r="AN31" i="26"/>
  <c r="AK31" i="26"/>
  <c r="AJ31" i="26"/>
  <c r="AG31" i="26"/>
  <c r="AF31" i="26"/>
  <c r="AC31" i="26"/>
  <c r="AB31" i="26"/>
  <c r="Y31" i="26"/>
  <c r="X31" i="26"/>
  <c r="U31" i="26"/>
  <c r="T31" i="26"/>
  <c r="Q31" i="26"/>
  <c r="P31" i="26"/>
  <c r="M31" i="26"/>
  <c r="L31" i="26"/>
  <c r="I31" i="26"/>
  <c r="H31" i="26"/>
  <c r="E31" i="26"/>
  <c r="D31" i="26"/>
  <c r="AO30" i="26"/>
  <c r="AN30" i="26"/>
  <c r="AK30" i="26"/>
  <c r="AJ30" i="26"/>
  <c r="AG30" i="26"/>
  <c r="AF30" i="26"/>
  <c r="AC30" i="26"/>
  <c r="AB30" i="26"/>
  <c r="Y30" i="26"/>
  <c r="X30" i="26"/>
  <c r="U30" i="26"/>
  <c r="T30" i="26"/>
  <c r="Q30" i="26"/>
  <c r="P30" i="26"/>
  <c r="M30" i="26"/>
  <c r="L30" i="26"/>
  <c r="I30" i="26"/>
  <c r="H30" i="26"/>
  <c r="E30" i="26"/>
  <c r="D30" i="26"/>
  <c r="AO29" i="26"/>
  <c r="AN29" i="26"/>
  <c r="AK29" i="26"/>
  <c r="AJ29" i="26"/>
  <c r="AG29" i="26"/>
  <c r="AF29" i="26"/>
  <c r="AC29" i="26"/>
  <c r="AB29" i="26"/>
  <c r="Y29" i="26"/>
  <c r="X29" i="26"/>
  <c r="U29" i="26"/>
  <c r="T29" i="26"/>
  <c r="Q29" i="26"/>
  <c r="P29" i="26"/>
  <c r="M29" i="26"/>
  <c r="L29" i="26"/>
  <c r="I29" i="26"/>
  <c r="H29" i="26"/>
  <c r="E29" i="26"/>
  <c r="D29" i="26"/>
  <c r="AO28" i="26"/>
  <c r="AN28" i="26"/>
  <c r="AK28" i="26"/>
  <c r="AJ28" i="26"/>
  <c r="AG28" i="26"/>
  <c r="AF28" i="26"/>
  <c r="AC28" i="26"/>
  <c r="AB28" i="26"/>
  <c r="Y28" i="26"/>
  <c r="X28" i="26"/>
  <c r="U28" i="26"/>
  <c r="T28" i="26"/>
  <c r="Q28" i="26"/>
  <c r="P28" i="26"/>
  <c r="M28" i="26"/>
  <c r="L28" i="26"/>
  <c r="I28" i="26"/>
  <c r="H28" i="26"/>
  <c r="E28" i="26"/>
  <c r="D28" i="26"/>
  <c r="AO27" i="26"/>
  <c r="AN27" i="26"/>
  <c r="AK27" i="26"/>
  <c r="AJ27" i="26"/>
  <c r="AG27" i="26"/>
  <c r="AF27" i="26"/>
  <c r="AC27" i="26"/>
  <c r="AB27" i="26"/>
  <c r="Y27" i="26"/>
  <c r="X27" i="26"/>
  <c r="U27" i="26"/>
  <c r="T27" i="26"/>
  <c r="Q27" i="26"/>
  <c r="P27" i="26"/>
  <c r="M27" i="26"/>
  <c r="L27" i="26"/>
  <c r="I27" i="26"/>
  <c r="H27" i="26"/>
  <c r="E27" i="26"/>
  <c r="D27" i="26"/>
  <c r="M27" i="30"/>
  <c r="M29" i="30"/>
  <c r="M31" i="30"/>
  <c r="M33" i="30"/>
  <c r="M35" i="30"/>
  <c r="M38" i="30"/>
  <c r="L38" i="30"/>
  <c r="L27" i="30"/>
  <c r="L29" i="30"/>
  <c r="L31" i="30"/>
  <c r="L33" i="30"/>
  <c r="L35" i="30"/>
  <c r="L37" i="30"/>
  <c r="O39" i="38"/>
  <c r="N39" i="38"/>
  <c r="S39" i="38"/>
  <c r="R39" i="38"/>
  <c r="AM39" i="38"/>
  <c r="AL39" i="38"/>
  <c r="AI39" i="38"/>
  <c r="AH39" i="38"/>
  <c r="AA39" i="38"/>
  <c r="Z39" i="38"/>
  <c r="K39" i="38"/>
  <c r="J39" i="38"/>
  <c r="A23" i="38"/>
  <c r="O22" i="38"/>
  <c r="N22" i="38"/>
  <c r="S22" i="38"/>
  <c r="R22" i="38"/>
  <c r="AM22" i="38"/>
  <c r="AL22" i="38"/>
  <c r="AI22" i="38"/>
  <c r="AH22" i="38"/>
  <c r="AA22" i="38"/>
  <c r="Z22" i="38"/>
  <c r="K22" i="38"/>
  <c r="J22" i="38"/>
  <c r="Q21" i="38"/>
  <c r="P21" i="38"/>
  <c r="U21" i="38"/>
  <c r="T21" i="38"/>
  <c r="AO21" i="38"/>
  <c r="AN21" i="38"/>
  <c r="AK21" i="38"/>
  <c r="AJ21" i="38"/>
  <c r="AC21" i="38"/>
  <c r="AB21" i="38"/>
  <c r="M21" i="38"/>
  <c r="L21" i="38"/>
  <c r="Q20" i="38"/>
  <c r="P20" i="38"/>
  <c r="U20" i="38"/>
  <c r="T20" i="38"/>
  <c r="AO20" i="38"/>
  <c r="AN20" i="38"/>
  <c r="AK20" i="38"/>
  <c r="AJ20" i="38"/>
  <c r="AC20" i="38"/>
  <c r="AB20" i="38"/>
  <c r="M20" i="38"/>
  <c r="L20" i="38"/>
  <c r="Q19" i="38"/>
  <c r="P19" i="38"/>
  <c r="U19" i="38"/>
  <c r="T19" i="38"/>
  <c r="AO19" i="38"/>
  <c r="AN19" i="38"/>
  <c r="AK19" i="38"/>
  <c r="AJ19" i="38"/>
  <c r="AC19" i="38"/>
  <c r="AB19" i="38"/>
  <c r="M19" i="38"/>
  <c r="L19" i="38"/>
  <c r="Q18" i="38"/>
  <c r="P18" i="38"/>
  <c r="U18" i="38"/>
  <c r="T18" i="38"/>
  <c r="AO18" i="38"/>
  <c r="AN18" i="38"/>
  <c r="AK18" i="38"/>
  <c r="AJ18" i="38"/>
  <c r="AC18" i="38"/>
  <c r="AB18" i="38"/>
  <c r="M18" i="38"/>
  <c r="L18" i="38"/>
  <c r="Q17" i="38"/>
  <c r="P17" i="38"/>
  <c r="U17" i="38"/>
  <c r="T17" i="38"/>
  <c r="AO17" i="38"/>
  <c r="AN17" i="38"/>
  <c r="AK17" i="38"/>
  <c r="AJ17" i="38"/>
  <c r="AC17" i="38"/>
  <c r="AB17" i="38"/>
  <c r="M17" i="38"/>
  <c r="L17" i="38"/>
  <c r="Q16" i="38"/>
  <c r="P16" i="38"/>
  <c r="U16" i="38"/>
  <c r="T16" i="38"/>
  <c r="AO16" i="38"/>
  <c r="AN16" i="38"/>
  <c r="AK16" i="38"/>
  <c r="AJ16" i="38"/>
  <c r="AC16" i="38"/>
  <c r="AB16" i="38"/>
  <c r="M16" i="38"/>
  <c r="L16" i="38"/>
  <c r="Q15" i="38"/>
  <c r="P15" i="38"/>
  <c r="U15" i="38"/>
  <c r="T15" i="38"/>
  <c r="AO15" i="38"/>
  <c r="AN15" i="38"/>
  <c r="AK15" i="38"/>
  <c r="AJ15" i="38"/>
  <c r="AC15" i="38"/>
  <c r="AB15" i="38"/>
  <c r="M15" i="38"/>
  <c r="L15" i="38"/>
  <c r="Q14" i="38"/>
  <c r="P14" i="38"/>
  <c r="U14" i="38"/>
  <c r="T14" i="38"/>
  <c r="AO14" i="38"/>
  <c r="AN14" i="38"/>
  <c r="AK14" i="38"/>
  <c r="AJ14" i="38"/>
  <c r="AC14" i="38"/>
  <c r="AB14" i="38"/>
  <c r="M14" i="38"/>
  <c r="L14" i="38"/>
  <c r="Q13" i="38"/>
  <c r="P13" i="38"/>
  <c r="U13" i="38"/>
  <c r="T13" i="38"/>
  <c r="AO13" i="38"/>
  <c r="AN13" i="38"/>
  <c r="AK13" i="38"/>
  <c r="AJ13" i="38"/>
  <c r="AC13" i="38"/>
  <c r="AB13" i="38"/>
  <c r="M13" i="38"/>
  <c r="L13" i="38"/>
  <c r="Q12" i="38"/>
  <c r="P12" i="38"/>
  <c r="U12" i="38"/>
  <c r="T12" i="38"/>
  <c r="AO12" i="38"/>
  <c r="AN12" i="38"/>
  <c r="AK12" i="38"/>
  <c r="AJ12" i="38"/>
  <c r="AC12" i="38"/>
  <c r="AB12" i="38"/>
  <c r="M12" i="38"/>
  <c r="L12" i="38"/>
  <c r="Q11" i="38"/>
  <c r="P11" i="38"/>
  <c r="U11" i="38"/>
  <c r="T11" i="38"/>
  <c r="AO11" i="38"/>
  <c r="AN11" i="38"/>
  <c r="AK11" i="38"/>
  <c r="AJ11" i="38"/>
  <c r="AC11" i="38"/>
  <c r="AB11" i="38"/>
  <c r="M11" i="38"/>
  <c r="L11" i="38"/>
  <c r="Q10" i="38"/>
  <c r="P10" i="38"/>
  <c r="U10" i="38"/>
  <c r="T10" i="38"/>
  <c r="AO10" i="38"/>
  <c r="AN10" i="38"/>
  <c r="AK10" i="38"/>
  <c r="AJ10" i="38"/>
  <c r="AC10" i="38"/>
  <c r="AB10" i="38"/>
  <c r="M10" i="38"/>
  <c r="L10" i="38"/>
  <c r="AC39" i="38"/>
  <c r="AO39" i="38"/>
  <c r="Q39" i="38"/>
  <c r="AC22" i="38"/>
  <c r="AO22" i="38"/>
  <c r="Q22" i="38"/>
  <c r="M39" i="38"/>
  <c r="AK39" i="38"/>
  <c r="U39" i="38"/>
  <c r="P39" i="38"/>
  <c r="M22" i="38"/>
  <c r="AK22" i="38"/>
  <c r="U22" i="38"/>
  <c r="L22" i="38"/>
  <c r="AB22" i="38"/>
  <c r="AJ22" i="38"/>
  <c r="AN22" i="38"/>
  <c r="T22" i="38"/>
  <c r="P22" i="38"/>
  <c r="L39" i="38"/>
  <c r="AB39" i="38"/>
  <c r="AJ39" i="38"/>
  <c r="AN39" i="38"/>
  <c r="T39" i="38"/>
  <c r="M23" i="18"/>
  <c r="M3" i="18"/>
  <c r="K39" i="36"/>
  <c r="J39" i="36"/>
  <c r="K22" i="36"/>
  <c r="J22" i="36"/>
  <c r="K39" i="31"/>
  <c r="J39" i="31"/>
  <c r="K22" i="31"/>
  <c r="J22" i="31"/>
  <c r="K39" i="28"/>
  <c r="J39" i="28"/>
  <c r="K22" i="28"/>
  <c r="J22" i="28"/>
  <c r="K39" i="27"/>
  <c r="J39" i="27"/>
  <c r="K22" i="27"/>
  <c r="J22" i="27"/>
  <c r="K39" i="26"/>
  <c r="J39" i="26"/>
  <c r="K22" i="26"/>
  <c r="J22" i="26"/>
  <c r="K39" i="29"/>
  <c r="J39" i="29"/>
  <c r="K22" i="29"/>
  <c r="J22" i="29"/>
  <c r="M39" i="36"/>
  <c r="M21" i="36"/>
  <c r="L21" i="36"/>
  <c r="M20" i="36"/>
  <c r="L20" i="36"/>
  <c r="M19" i="36"/>
  <c r="L19" i="36"/>
  <c r="M18" i="36"/>
  <c r="L18" i="36"/>
  <c r="M17" i="36"/>
  <c r="L17" i="36"/>
  <c r="M16" i="36"/>
  <c r="L16" i="36"/>
  <c r="M15" i="36"/>
  <c r="L15" i="36"/>
  <c r="M14" i="36"/>
  <c r="L14" i="36"/>
  <c r="M13" i="36"/>
  <c r="L13" i="36"/>
  <c r="M12" i="36"/>
  <c r="L12" i="36"/>
  <c r="M11" i="36"/>
  <c r="L11" i="36"/>
  <c r="M10" i="36"/>
  <c r="L10" i="36"/>
  <c r="K39" i="32"/>
  <c r="J39" i="32"/>
  <c r="K22" i="32"/>
  <c r="J22" i="32"/>
  <c r="M22" i="32"/>
  <c r="M21" i="32"/>
  <c r="L21" i="32"/>
  <c r="M20" i="32"/>
  <c r="L20" i="32"/>
  <c r="M19" i="32"/>
  <c r="L19" i="32"/>
  <c r="M18" i="32"/>
  <c r="L18" i="32"/>
  <c r="M17" i="32"/>
  <c r="L17" i="32"/>
  <c r="M16" i="32"/>
  <c r="L16" i="32"/>
  <c r="M15" i="32"/>
  <c r="L15" i="32"/>
  <c r="M14" i="32"/>
  <c r="L14" i="32"/>
  <c r="M13" i="32"/>
  <c r="L13" i="32"/>
  <c r="M12" i="32"/>
  <c r="L12" i="32"/>
  <c r="M11" i="32"/>
  <c r="L11" i="32"/>
  <c r="M10" i="32"/>
  <c r="L10" i="32"/>
  <c r="M39" i="31"/>
  <c r="M21" i="31"/>
  <c r="L21" i="31"/>
  <c r="M20" i="31"/>
  <c r="L20" i="31"/>
  <c r="M19" i="31"/>
  <c r="L19" i="31"/>
  <c r="M18" i="31"/>
  <c r="L18" i="31"/>
  <c r="M17" i="31"/>
  <c r="L17" i="31"/>
  <c r="M16" i="31"/>
  <c r="L16" i="31"/>
  <c r="M15" i="31"/>
  <c r="L15" i="31"/>
  <c r="M14" i="31"/>
  <c r="L14" i="31"/>
  <c r="M13" i="31"/>
  <c r="L13" i="31"/>
  <c r="M12" i="31"/>
  <c r="L12" i="31"/>
  <c r="M11" i="31"/>
  <c r="L11" i="31"/>
  <c r="M10" i="31"/>
  <c r="L10" i="31"/>
  <c r="J39" i="30"/>
  <c r="M20" i="30"/>
  <c r="M18" i="30"/>
  <c r="M16" i="30"/>
  <c r="M14" i="30"/>
  <c r="M12" i="30"/>
  <c r="L10" i="30"/>
  <c r="K22" i="30"/>
  <c r="M11" i="30"/>
  <c r="M13" i="30"/>
  <c r="M15" i="30"/>
  <c r="M17" i="30"/>
  <c r="L19" i="30"/>
  <c r="M21" i="30"/>
  <c r="M10" i="30"/>
  <c r="L13" i="30"/>
  <c r="L17" i="30"/>
  <c r="L11" i="30"/>
  <c r="L15" i="30"/>
  <c r="L21" i="30"/>
  <c r="L22" i="32"/>
  <c r="M39" i="32"/>
  <c r="M19" i="30"/>
  <c r="M22" i="31"/>
  <c r="L39" i="36"/>
  <c r="M22" i="36"/>
  <c r="L22" i="36"/>
  <c r="L39" i="32"/>
  <c r="L39" i="31"/>
  <c r="L22" i="31"/>
  <c r="K39" i="30"/>
  <c r="L12" i="30"/>
  <c r="L14" i="30"/>
  <c r="L16" i="30"/>
  <c r="L18" i="30"/>
  <c r="L20" i="30"/>
  <c r="J22" i="30"/>
  <c r="M22" i="30"/>
  <c r="M39" i="29"/>
  <c r="M21" i="29"/>
  <c r="L21" i="29"/>
  <c r="M20" i="29"/>
  <c r="L20" i="29"/>
  <c r="M19" i="29"/>
  <c r="L19" i="29"/>
  <c r="M18" i="29"/>
  <c r="L18" i="29"/>
  <c r="M17" i="29"/>
  <c r="L17" i="29"/>
  <c r="M16" i="29"/>
  <c r="L16" i="29"/>
  <c r="M15" i="29"/>
  <c r="L15" i="29"/>
  <c r="M14" i="29"/>
  <c r="L14" i="29"/>
  <c r="M13" i="29"/>
  <c r="L13" i="29"/>
  <c r="M12" i="29"/>
  <c r="L12" i="29"/>
  <c r="M11" i="29"/>
  <c r="L11" i="29"/>
  <c r="M10" i="29"/>
  <c r="L10" i="29"/>
  <c r="M39" i="28"/>
  <c r="L39" i="28"/>
  <c r="M21" i="28"/>
  <c r="L21" i="28"/>
  <c r="M20" i="28"/>
  <c r="L20" i="28"/>
  <c r="M19" i="28"/>
  <c r="L19" i="28"/>
  <c r="M18" i="28"/>
  <c r="L18" i="28"/>
  <c r="M17" i="28"/>
  <c r="L17" i="28"/>
  <c r="M16" i="28"/>
  <c r="L16" i="28"/>
  <c r="M15" i="28"/>
  <c r="L15" i="28"/>
  <c r="M14" i="28"/>
  <c r="L14" i="28"/>
  <c r="M13" i="28"/>
  <c r="L13" i="28"/>
  <c r="M12" i="28"/>
  <c r="L12" i="28"/>
  <c r="M11" i="28"/>
  <c r="L11" i="28"/>
  <c r="M10" i="28"/>
  <c r="L10" i="28"/>
  <c r="M39" i="27"/>
  <c r="M21" i="27"/>
  <c r="L21" i="27"/>
  <c r="M20" i="27"/>
  <c r="L20" i="27"/>
  <c r="M19" i="27"/>
  <c r="L19" i="27"/>
  <c r="M18" i="27"/>
  <c r="L18" i="27"/>
  <c r="M17" i="27"/>
  <c r="L17" i="27"/>
  <c r="M16" i="27"/>
  <c r="L16" i="27"/>
  <c r="M15" i="27"/>
  <c r="L15" i="27"/>
  <c r="M14" i="27"/>
  <c r="L14" i="27"/>
  <c r="M13" i="27"/>
  <c r="L13" i="27"/>
  <c r="M12" i="27"/>
  <c r="L12" i="27"/>
  <c r="M11" i="27"/>
  <c r="L11" i="27"/>
  <c r="M10" i="27"/>
  <c r="L10" i="27"/>
  <c r="M21" i="26"/>
  <c r="L21" i="26"/>
  <c r="M20" i="26"/>
  <c r="L20" i="26"/>
  <c r="M19" i="26"/>
  <c r="L19" i="26"/>
  <c r="M18" i="26"/>
  <c r="L18" i="26"/>
  <c r="M17" i="26"/>
  <c r="L17" i="26"/>
  <c r="M16" i="26"/>
  <c r="L16" i="26"/>
  <c r="M15" i="26"/>
  <c r="L15" i="26"/>
  <c r="M14" i="26"/>
  <c r="L14" i="26"/>
  <c r="M13" i="26"/>
  <c r="L13" i="26"/>
  <c r="M12" i="26"/>
  <c r="L12" i="26"/>
  <c r="M11" i="26"/>
  <c r="L11" i="26"/>
  <c r="M10" i="26"/>
  <c r="L10" i="26"/>
  <c r="L22" i="30"/>
  <c r="M39" i="30"/>
  <c r="L39" i="30"/>
  <c r="L39" i="29"/>
  <c r="L22" i="29"/>
  <c r="M22" i="29"/>
  <c r="M22" i="28"/>
  <c r="L22" i="28"/>
  <c r="L39" i="27"/>
  <c r="M22" i="27"/>
  <c r="L22" i="27"/>
  <c r="M22" i="26"/>
  <c r="M39" i="26"/>
  <c r="L22" i="26"/>
  <c r="L39" i="26"/>
  <c r="J4" i="18"/>
  <c r="J5" i="18"/>
  <c r="J6" i="18"/>
  <c r="J7" i="18"/>
  <c r="J8" i="18"/>
  <c r="J9" i="18"/>
  <c r="J10" i="18"/>
  <c r="J11" i="18"/>
  <c r="J12" i="18"/>
  <c r="J13" i="18"/>
  <c r="J14" i="18"/>
  <c r="J15" i="18"/>
  <c r="A23" i="36"/>
  <c r="S39" i="36"/>
  <c r="R39" i="36"/>
  <c r="U39" i="36"/>
  <c r="O39" i="36"/>
  <c r="N39" i="36"/>
  <c r="W39" i="36"/>
  <c r="V39" i="36"/>
  <c r="Y39" i="36"/>
  <c r="AI39" i="36"/>
  <c r="AH39" i="36"/>
  <c r="AE39" i="36"/>
  <c r="AD39" i="36"/>
  <c r="AG39" i="36"/>
  <c r="AA39" i="36"/>
  <c r="Z39" i="36"/>
  <c r="G39" i="36"/>
  <c r="F39" i="36"/>
  <c r="I39" i="36"/>
  <c r="AC39" i="36"/>
  <c r="AK39" i="36"/>
  <c r="Q39" i="36"/>
  <c r="H39" i="36"/>
  <c r="AB39" i="36"/>
  <c r="AF39" i="36"/>
  <c r="AJ39" i="36"/>
  <c r="X39" i="36"/>
  <c r="P39" i="36"/>
  <c r="T39" i="36"/>
  <c r="J35" i="22"/>
  <c r="J34" i="22"/>
  <c r="J33" i="22"/>
  <c r="J32" i="22"/>
  <c r="J31" i="22"/>
  <c r="J30" i="22"/>
  <c r="J29" i="22"/>
  <c r="J28" i="22"/>
  <c r="J27" i="22"/>
  <c r="J26" i="22"/>
  <c r="J25" i="22"/>
  <c r="J24" i="22"/>
  <c r="V22" i="30"/>
  <c r="W22" i="30"/>
  <c r="A22" i="20"/>
  <c r="L23" i="20"/>
  <c r="G16" i="18"/>
  <c r="I16" i="18"/>
  <c r="W22" i="36"/>
  <c r="V22" i="36"/>
  <c r="J4" i="19"/>
  <c r="J5" i="19"/>
  <c r="J6" i="19"/>
  <c r="J7" i="19"/>
  <c r="J8" i="19"/>
  <c r="J9" i="19"/>
  <c r="J10" i="19"/>
  <c r="J11" i="19"/>
  <c r="J12" i="19"/>
  <c r="J13" i="19"/>
  <c r="J14" i="19"/>
  <c r="J15" i="19"/>
  <c r="Y21" i="36"/>
  <c r="Y20" i="36"/>
  <c r="Y19" i="36"/>
  <c r="Y18" i="36"/>
  <c r="Y17" i="36"/>
  <c r="Y16" i="36"/>
  <c r="Y15" i="36"/>
  <c r="Y14" i="36"/>
  <c r="Y13" i="36"/>
  <c r="Y12" i="36"/>
  <c r="Y11" i="36"/>
  <c r="Y10" i="36"/>
  <c r="S22" i="36"/>
  <c r="R22" i="36"/>
  <c r="U21" i="36"/>
  <c r="T21" i="36"/>
  <c r="U20" i="36"/>
  <c r="T20" i="36"/>
  <c r="U19" i="36"/>
  <c r="T19" i="36"/>
  <c r="U18" i="36"/>
  <c r="T18" i="36"/>
  <c r="U17" i="36"/>
  <c r="T17" i="36"/>
  <c r="U16" i="36"/>
  <c r="T16" i="36"/>
  <c r="U15" i="36"/>
  <c r="T15" i="36"/>
  <c r="U14" i="36"/>
  <c r="T14" i="36"/>
  <c r="U13" i="36"/>
  <c r="T13" i="36"/>
  <c r="U12" i="36"/>
  <c r="T12" i="36"/>
  <c r="U11" i="36"/>
  <c r="T11" i="36"/>
  <c r="U10" i="36"/>
  <c r="T10" i="36"/>
  <c r="O22" i="36"/>
  <c r="N22" i="36"/>
  <c r="Q21" i="36"/>
  <c r="P21" i="36"/>
  <c r="Q20" i="36"/>
  <c r="P20" i="36"/>
  <c r="Q19" i="36"/>
  <c r="P19" i="36"/>
  <c r="Q18" i="36"/>
  <c r="P18" i="36"/>
  <c r="Q17" i="36"/>
  <c r="P17" i="36"/>
  <c r="Q16" i="36"/>
  <c r="P16" i="36"/>
  <c r="Q15" i="36"/>
  <c r="P15" i="36"/>
  <c r="Q14" i="36"/>
  <c r="P14" i="36"/>
  <c r="Q13" i="36"/>
  <c r="P13" i="36"/>
  <c r="Q12" i="36"/>
  <c r="P12" i="36"/>
  <c r="Q11" i="36"/>
  <c r="P11" i="36"/>
  <c r="Q10" i="36"/>
  <c r="P10" i="36"/>
  <c r="X21" i="36"/>
  <c r="X20" i="36"/>
  <c r="X19" i="36"/>
  <c r="X18" i="36"/>
  <c r="X17" i="36"/>
  <c r="X16" i="36"/>
  <c r="X15" i="36"/>
  <c r="X14" i="36"/>
  <c r="X13" i="36"/>
  <c r="X12" i="36"/>
  <c r="X11" i="36"/>
  <c r="X10" i="36"/>
  <c r="A6" i="36"/>
  <c r="AI22" i="36"/>
  <c r="AH22" i="36"/>
  <c r="AJ22" i="36"/>
  <c r="AE22" i="36"/>
  <c r="AD22" i="36"/>
  <c r="AA22" i="36"/>
  <c r="Z22" i="36"/>
  <c r="AC22" i="36"/>
  <c r="G22" i="36"/>
  <c r="F22" i="36"/>
  <c r="AK21" i="36"/>
  <c r="AJ21" i="36"/>
  <c r="AG21" i="36"/>
  <c r="AF21" i="36"/>
  <c r="AC21" i="36"/>
  <c r="AB21" i="36"/>
  <c r="I21" i="36"/>
  <c r="H21" i="36"/>
  <c r="AK20" i="36"/>
  <c r="AJ20" i="36"/>
  <c r="AG20" i="36"/>
  <c r="AF20" i="36"/>
  <c r="AC20" i="36"/>
  <c r="AB20" i="36"/>
  <c r="I20" i="36"/>
  <c r="H20" i="36"/>
  <c r="AK19" i="36"/>
  <c r="AJ19" i="36"/>
  <c r="AG19" i="36"/>
  <c r="AF19" i="36"/>
  <c r="AC19" i="36"/>
  <c r="AB19" i="36"/>
  <c r="I19" i="36"/>
  <c r="H19" i="36"/>
  <c r="AK18" i="36"/>
  <c r="AJ18" i="36"/>
  <c r="AG18" i="36"/>
  <c r="AF18" i="36"/>
  <c r="AC18" i="36"/>
  <c r="AB18" i="36"/>
  <c r="I18" i="36"/>
  <c r="H18" i="36"/>
  <c r="AK17" i="36"/>
  <c r="AJ17" i="36"/>
  <c r="AG17" i="36"/>
  <c r="AF17" i="36"/>
  <c r="AC17" i="36"/>
  <c r="AB17" i="36"/>
  <c r="I17" i="36"/>
  <c r="H17" i="36"/>
  <c r="AK16" i="36"/>
  <c r="AJ16" i="36"/>
  <c r="AG16" i="36"/>
  <c r="AF16" i="36"/>
  <c r="AC16" i="36"/>
  <c r="AB16" i="36"/>
  <c r="I16" i="36"/>
  <c r="H16" i="36"/>
  <c r="AK15" i="36"/>
  <c r="AJ15" i="36"/>
  <c r="AG15" i="36"/>
  <c r="AF15" i="36"/>
  <c r="AC15" i="36"/>
  <c r="AB15" i="36"/>
  <c r="I15" i="36"/>
  <c r="H15" i="36"/>
  <c r="AK14" i="36"/>
  <c r="AJ14" i="36"/>
  <c r="AG14" i="36"/>
  <c r="AF14" i="36"/>
  <c r="AC14" i="36"/>
  <c r="AB14" i="36"/>
  <c r="I14" i="36"/>
  <c r="H14" i="36"/>
  <c r="AK13" i="36"/>
  <c r="AJ13" i="36"/>
  <c r="AG13" i="36"/>
  <c r="AF13" i="36"/>
  <c r="AC13" i="36"/>
  <c r="AB13" i="36"/>
  <c r="I13" i="36"/>
  <c r="H13" i="36"/>
  <c r="AK12" i="36"/>
  <c r="AJ12" i="36"/>
  <c r="AG12" i="36"/>
  <c r="AF12" i="36"/>
  <c r="AC12" i="36"/>
  <c r="AB12" i="36"/>
  <c r="I12" i="36"/>
  <c r="H12" i="36"/>
  <c r="AK11" i="36"/>
  <c r="AJ11" i="36"/>
  <c r="AG11" i="36"/>
  <c r="AF11" i="36"/>
  <c r="AC11" i="36"/>
  <c r="AB11" i="36"/>
  <c r="I11" i="36"/>
  <c r="H11" i="36"/>
  <c r="AK10" i="36"/>
  <c r="AJ10" i="36"/>
  <c r="AG10" i="36"/>
  <c r="AF10" i="36"/>
  <c r="AC10" i="36"/>
  <c r="AB10" i="36"/>
  <c r="I10" i="36"/>
  <c r="H10" i="36"/>
  <c r="J35" i="24"/>
  <c r="K35" i="24"/>
  <c r="J34" i="24"/>
  <c r="K34" i="24"/>
  <c r="J33" i="24"/>
  <c r="J32" i="24"/>
  <c r="K32" i="24"/>
  <c r="J31" i="24"/>
  <c r="K31" i="24"/>
  <c r="J30" i="24"/>
  <c r="K30" i="24"/>
  <c r="J29" i="24"/>
  <c r="J28" i="24"/>
  <c r="K28" i="24"/>
  <c r="J27" i="24"/>
  <c r="K27" i="24"/>
  <c r="J26" i="24"/>
  <c r="K26" i="24"/>
  <c r="J25" i="24"/>
  <c r="J24" i="24"/>
  <c r="J35" i="23"/>
  <c r="K35" i="23"/>
  <c r="J34" i="23"/>
  <c r="J33" i="23"/>
  <c r="J32" i="23"/>
  <c r="K32" i="23"/>
  <c r="J31" i="23"/>
  <c r="K31" i="23"/>
  <c r="J30" i="23"/>
  <c r="J29" i="23"/>
  <c r="K29" i="23"/>
  <c r="J28" i="23"/>
  <c r="K28" i="23"/>
  <c r="J27" i="23"/>
  <c r="J24" i="23"/>
  <c r="J25" i="23"/>
  <c r="J26" i="23"/>
  <c r="J36" i="23"/>
  <c r="K25" i="23"/>
  <c r="K24" i="23"/>
  <c r="K35" i="21"/>
  <c r="L35" i="21"/>
  <c r="K34" i="21"/>
  <c r="K33" i="21"/>
  <c r="K32" i="21"/>
  <c r="L32" i="21"/>
  <c r="K31" i="21"/>
  <c r="L31" i="21"/>
  <c r="K30" i="21"/>
  <c r="K29" i="21"/>
  <c r="K28" i="21"/>
  <c r="L28" i="21"/>
  <c r="K27" i="21"/>
  <c r="L27" i="21"/>
  <c r="K26" i="21"/>
  <c r="K25" i="21"/>
  <c r="K24" i="21"/>
  <c r="I35" i="20"/>
  <c r="J35" i="20"/>
  <c r="I34" i="20"/>
  <c r="I33" i="20"/>
  <c r="J33" i="20"/>
  <c r="I32" i="20"/>
  <c r="J32" i="20"/>
  <c r="I31" i="20"/>
  <c r="J31" i="20"/>
  <c r="I30" i="20"/>
  <c r="I29" i="20"/>
  <c r="I28" i="20"/>
  <c r="J28" i="20"/>
  <c r="I27" i="20"/>
  <c r="J27" i="20"/>
  <c r="I26" i="20"/>
  <c r="J26" i="20"/>
  <c r="I25" i="20"/>
  <c r="J25" i="20"/>
  <c r="I24" i="20"/>
  <c r="J24" i="20"/>
  <c r="J35" i="19"/>
  <c r="K35" i="19"/>
  <c r="J34" i="19"/>
  <c r="J33" i="19"/>
  <c r="J32" i="19"/>
  <c r="K32" i="19"/>
  <c r="J31" i="19"/>
  <c r="K31" i="19"/>
  <c r="J30" i="19"/>
  <c r="J29" i="19"/>
  <c r="J28" i="19"/>
  <c r="K28" i="19"/>
  <c r="J27" i="19"/>
  <c r="K27" i="19"/>
  <c r="J26" i="19"/>
  <c r="J25" i="19"/>
  <c r="J24" i="19"/>
  <c r="J35" i="18"/>
  <c r="K35" i="18"/>
  <c r="J34" i="18"/>
  <c r="L34" i="35"/>
  <c r="J33" i="18"/>
  <c r="K33" i="18"/>
  <c r="J32" i="18"/>
  <c r="L32" i="35"/>
  <c r="J31" i="18"/>
  <c r="K31" i="18"/>
  <c r="J30" i="18"/>
  <c r="K30" i="18"/>
  <c r="J29" i="18"/>
  <c r="L29" i="35"/>
  <c r="J28" i="18"/>
  <c r="L28" i="35"/>
  <c r="J27" i="18"/>
  <c r="K27" i="18"/>
  <c r="J26" i="18"/>
  <c r="K26" i="18"/>
  <c r="J25" i="18"/>
  <c r="J24" i="18"/>
  <c r="L24" i="35"/>
  <c r="J16" i="18"/>
  <c r="I15" i="20"/>
  <c r="I14" i="20"/>
  <c r="I13" i="20"/>
  <c r="I12" i="20"/>
  <c r="I11" i="20"/>
  <c r="I10" i="20"/>
  <c r="I9" i="20"/>
  <c r="I8" i="20"/>
  <c r="I7" i="20"/>
  <c r="I6" i="20"/>
  <c r="I5" i="20"/>
  <c r="I4" i="20"/>
  <c r="J15" i="23"/>
  <c r="J14" i="23"/>
  <c r="J13" i="23"/>
  <c r="J12" i="23"/>
  <c r="J11" i="23"/>
  <c r="J10" i="23"/>
  <c r="J9" i="23"/>
  <c r="J8" i="23"/>
  <c r="J7" i="23"/>
  <c r="J6" i="23"/>
  <c r="J5" i="23"/>
  <c r="J4" i="23"/>
  <c r="AE39" i="32"/>
  <c r="AD39" i="32"/>
  <c r="AA39" i="32"/>
  <c r="Z39" i="32"/>
  <c r="W39" i="32"/>
  <c r="V39" i="32"/>
  <c r="S39" i="32"/>
  <c r="R39" i="32"/>
  <c r="U39" i="32"/>
  <c r="O39" i="32"/>
  <c r="N39" i="32"/>
  <c r="G39" i="32"/>
  <c r="F39" i="32"/>
  <c r="A22" i="24"/>
  <c r="AE22" i="32"/>
  <c r="AD22" i="32"/>
  <c r="AA22" i="32"/>
  <c r="Z22" i="32"/>
  <c r="W22" i="32"/>
  <c r="V22" i="32"/>
  <c r="S22" i="32"/>
  <c r="R22" i="32"/>
  <c r="O22" i="32"/>
  <c r="N22" i="32"/>
  <c r="G22" i="32"/>
  <c r="F22" i="32"/>
  <c r="AG21" i="32"/>
  <c r="AF21" i="32"/>
  <c r="AC21" i="32"/>
  <c r="AB21" i="32"/>
  <c r="Y21" i="32"/>
  <c r="X21" i="32"/>
  <c r="U21" i="32"/>
  <c r="T21" i="32"/>
  <c r="Q21" i="32"/>
  <c r="P21" i="32"/>
  <c r="I21" i="32"/>
  <c r="H21" i="32"/>
  <c r="AG20" i="32"/>
  <c r="AF20" i="32"/>
  <c r="AC20" i="32"/>
  <c r="AB20" i="32"/>
  <c r="Y20" i="32"/>
  <c r="X20" i="32"/>
  <c r="U20" i="32"/>
  <c r="T20" i="32"/>
  <c r="Q20" i="32"/>
  <c r="P20" i="32"/>
  <c r="I20" i="32"/>
  <c r="H20" i="32"/>
  <c r="AG19" i="32"/>
  <c r="AF19" i="32"/>
  <c r="AC19" i="32"/>
  <c r="AB19" i="32"/>
  <c r="Y19" i="32"/>
  <c r="X19" i="32"/>
  <c r="U19" i="32"/>
  <c r="T19" i="32"/>
  <c r="Q19" i="32"/>
  <c r="P19" i="32"/>
  <c r="I19" i="32"/>
  <c r="H19" i="32"/>
  <c r="AG18" i="32"/>
  <c r="AF18" i="32"/>
  <c r="AC18" i="32"/>
  <c r="AB18" i="32"/>
  <c r="Y18" i="32"/>
  <c r="X18" i="32"/>
  <c r="U18" i="32"/>
  <c r="T18" i="32"/>
  <c r="Q18" i="32"/>
  <c r="P18" i="32"/>
  <c r="I18" i="32"/>
  <c r="H18" i="32"/>
  <c r="AG17" i="32"/>
  <c r="AF17" i="32"/>
  <c r="AC17" i="32"/>
  <c r="AB17" i="32"/>
  <c r="Y17" i="32"/>
  <c r="X17" i="32"/>
  <c r="U17" i="32"/>
  <c r="T17" i="32"/>
  <c r="Q17" i="32"/>
  <c r="P17" i="32"/>
  <c r="I17" i="32"/>
  <c r="H17" i="32"/>
  <c r="AG16" i="32"/>
  <c r="AF16" i="32"/>
  <c r="AC16" i="32"/>
  <c r="AB16" i="32"/>
  <c r="Y16" i="32"/>
  <c r="X16" i="32"/>
  <c r="U16" i="32"/>
  <c r="T16" i="32"/>
  <c r="Q16" i="32"/>
  <c r="P16" i="32"/>
  <c r="I16" i="32"/>
  <c r="H16" i="32"/>
  <c r="AG15" i="32"/>
  <c r="AF15" i="32"/>
  <c r="AC15" i="32"/>
  <c r="AB15" i="32"/>
  <c r="Y15" i="32"/>
  <c r="X15" i="32"/>
  <c r="U15" i="32"/>
  <c r="T15" i="32"/>
  <c r="Q15" i="32"/>
  <c r="P15" i="32"/>
  <c r="I15" i="32"/>
  <c r="H15" i="32"/>
  <c r="AG14" i="32"/>
  <c r="AF14" i="32"/>
  <c r="AC14" i="32"/>
  <c r="AB14" i="32"/>
  <c r="Y14" i="32"/>
  <c r="X14" i="32"/>
  <c r="U14" i="32"/>
  <c r="T14" i="32"/>
  <c r="Q14" i="32"/>
  <c r="P14" i="32"/>
  <c r="I14" i="32"/>
  <c r="H14" i="32"/>
  <c r="AG13" i="32"/>
  <c r="AF13" i="32"/>
  <c r="AC13" i="32"/>
  <c r="AB13" i="32"/>
  <c r="Y13" i="32"/>
  <c r="X13" i="32"/>
  <c r="U13" i="32"/>
  <c r="T13" i="32"/>
  <c r="Q13" i="32"/>
  <c r="P13" i="32"/>
  <c r="I13" i="32"/>
  <c r="H13" i="32"/>
  <c r="AG12" i="32"/>
  <c r="AF12" i="32"/>
  <c r="AC12" i="32"/>
  <c r="AB12" i="32"/>
  <c r="Y12" i="32"/>
  <c r="X12" i="32"/>
  <c r="U12" i="32"/>
  <c r="T12" i="32"/>
  <c r="Q12" i="32"/>
  <c r="P12" i="32"/>
  <c r="I12" i="32"/>
  <c r="H12" i="32"/>
  <c r="AG11" i="32"/>
  <c r="AF11" i="32"/>
  <c r="AC11" i="32"/>
  <c r="AB11" i="32"/>
  <c r="Y11" i="32"/>
  <c r="X11" i="32"/>
  <c r="U11" i="32"/>
  <c r="T11" i="32"/>
  <c r="Q11" i="32"/>
  <c r="P11" i="32"/>
  <c r="I11" i="32"/>
  <c r="H11" i="32"/>
  <c r="AG10" i="32"/>
  <c r="AF10" i="32"/>
  <c r="AC10" i="32"/>
  <c r="AB10" i="32"/>
  <c r="Y10" i="32"/>
  <c r="X10" i="32"/>
  <c r="U10" i="32"/>
  <c r="T10" i="32"/>
  <c r="Q10" i="32"/>
  <c r="P10" i="32"/>
  <c r="I10" i="32"/>
  <c r="H10" i="32"/>
  <c r="A2" i="24"/>
  <c r="M3" i="24"/>
  <c r="B36" i="24"/>
  <c r="I36" i="24"/>
  <c r="G36" i="24"/>
  <c r="F36" i="24"/>
  <c r="E36" i="24"/>
  <c r="D36" i="24"/>
  <c r="C36" i="24"/>
  <c r="K33" i="24"/>
  <c r="K29" i="24"/>
  <c r="K25" i="24"/>
  <c r="I16" i="24"/>
  <c r="G16" i="24"/>
  <c r="F16" i="24"/>
  <c r="E16" i="24"/>
  <c r="D16" i="24"/>
  <c r="C16" i="24"/>
  <c r="J4" i="24"/>
  <c r="J5" i="24"/>
  <c r="K5" i="24"/>
  <c r="J6" i="24"/>
  <c r="J7" i="24"/>
  <c r="J8" i="24"/>
  <c r="J9" i="24"/>
  <c r="J10" i="24"/>
  <c r="J11" i="24"/>
  <c r="J12" i="24"/>
  <c r="J13" i="24"/>
  <c r="J14" i="24"/>
  <c r="J15" i="24"/>
  <c r="B16" i="24"/>
  <c r="AE39" i="31"/>
  <c r="AD39" i="31"/>
  <c r="AA39" i="31"/>
  <c r="Z39" i="31"/>
  <c r="W39" i="31"/>
  <c r="V39" i="31"/>
  <c r="S39" i="31"/>
  <c r="R39" i="31"/>
  <c r="O39" i="31"/>
  <c r="N39" i="31"/>
  <c r="G39" i="31"/>
  <c r="F39" i="31"/>
  <c r="C39" i="31"/>
  <c r="B39" i="31"/>
  <c r="A22" i="23"/>
  <c r="AE22" i="31"/>
  <c r="AD22" i="31"/>
  <c r="AA22" i="31"/>
  <c r="Z22" i="31"/>
  <c r="W22" i="31"/>
  <c r="V22" i="31"/>
  <c r="S22" i="31"/>
  <c r="R22" i="31"/>
  <c r="O22" i="31"/>
  <c r="N22" i="31"/>
  <c r="G22" i="31"/>
  <c r="F22" i="31"/>
  <c r="C22" i="31"/>
  <c r="B22" i="31"/>
  <c r="AG21" i="31"/>
  <c r="AF21" i="31"/>
  <c r="AC21" i="31"/>
  <c r="AB21" i="31"/>
  <c r="Y21" i="31"/>
  <c r="X21" i="31"/>
  <c r="U21" i="31"/>
  <c r="T21" i="31"/>
  <c r="Q21" i="31"/>
  <c r="P21" i="31"/>
  <c r="I21" i="31"/>
  <c r="H21" i="31"/>
  <c r="E21" i="31"/>
  <c r="D21" i="31"/>
  <c r="AG20" i="31"/>
  <c r="AF20" i="31"/>
  <c r="AC20" i="31"/>
  <c r="AB20" i="31"/>
  <c r="Y20" i="31"/>
  <c r="X20" i="31"/>
  <c r="U20" i="31"/>
  <c r="T20" i="31"/>
  <c r="Q20" i="31"/>
  <c r="P20" i="31"/>
  <c r="I20" i="31"/>
  <c r="H20" i="31"/>
  <c r="E20" i="31"/>
  <c r="D20" i="31"/>
  <c r="AG19" i="31"/>
  <c r="AF19" i="31"/>
  <c r="AC19" i="31"/>
  <c r="AB19" i="31"/>
  <c r="Y19" i="31"/>
  <c r="X19" i="31"/>
  <c r="U19" i="31"/>
  <c r="T19" i="31"/>
  <c r="Q19" i="31"/>
  <c r="P19" i="31"/>
  <c r="I19" i="31"/>
  <c r="H19" i="31"/>
  <c r="E19" i="31"/>
  <c r="D19" i="31"/>
  <c r="AG18" i="31"/>
  <c r="AF18" i="31"/>
  <c r="AC18" i="31"/>
  <c r="AB18" i="31"/>
  <c r="Y18" i="31"/>
  <c r="X18" i="31"/>
  <c r="U18" i="31"/>
  <c r="T18" i="31"/>
  <c r="Q18" i="31"/>
  <c r="P18" i="31"/>
  <c r="I18" i="31"/>
  <c r="H18" i="31"/>
  <c r="E18" i="31"/>
  <c r="D18" i="31"/>
  <c r="AG17" i="31"/>
  <c r="AF17" i="31"/>
  <c r="AC17" i="31"/>
  <c r="AB17" i="31"/>
  <c r="Y17" i="31"/>
  <c r="X17" i="31"/>
  <c r="U17" i="31"/>
  <c r="T17" i="31"/>
  <c r="Q17" i="31"/>
  <c r="P17" i="31"/>
  <c r="I17" i="31"/>
  <c r="H17" i="31"/>
  <c r="E17" i="31"/>
  <c r="D17" i="31"/>
  <c r="AG16" i="31"/>
  <c r="AF16" i="31"/>
  <c r="AC16" i="31"/>
  <c r="AB16" i="31"/>
  <c r="Y16" i="31"/>
  <c r="X16" i="31"/>
  <c r="U16" i="31"/>
  <c r="T16" i="31"/>
  <c r="Q16" i="31"/>
  <c r="P16" i="31"/>
  <c r="I16" i="31"/>
  <c r="H16" i="31"/>
  <c r="E16" i="31"/>
  <c r="D16" i="31"/>
  <c r="AG15" i="31"/>
  <c r="AF15" i="31"/>
  <c r="AC15" i="31"/>
  <c r="AB15" i="31"/>
  <c r="Y15" i="31"/>
  <c r="X15" i="31"/>
  <c r="U15" i="31"/>
  <c r="T15" i="31"/>
  <c r="Q15" i="31"/>
  <c r="P15" i="31"/>
  <c r="I15" i="31"/>
  <c r="H15" i="31"/>
  <c r="E15" i="31"/>
  <c r="D15" i="31"/>
  <c r="AG14" i="31"/>
  <c r="AF14" i="31"/>
  <c r="AC14" i="31"/>
  <c r="AB14" i="31"/>
  <c r="Y14" i="31"/>
  <c r="X14" i="31"/>
  <c r="U14" i="31"/>
  <c r="T14" i="31"/>
  <c r="Q14" i="31"/>
  <c r="P14" i="31"/>
  <c r="I14" i="31"/>
  <c r="H14" i="31"/>
  <c r="E14" i="31"/>
  <c r="D14" i="31"/>
  <c r="AG13" i="31"/>
  <c r="AF13" i="31"/>
  <c r="AC13" i="31"/>
  <c r="AB13" i="31"/>
  <c r="Y13" i="31"/>
  <c r="X13" i="31"/>
  <c r="U13" i="31"/>
  <c r="T13" i="31"/>
  <c r="Q13" i="31"/>
  <c r="P13" i="31"/>
  <c r="I13" i="31"/>
  <c r="H13" i="31"/>
  <c r="E13" i="31"/>
  <c r="D13" i="31"/>
  <c r="AG12" i="31"/>
  <c r="AF12" i="31"/>
  <c r="AC12" i="31"/>
  <c r="AB12" i="31"/>
  <c r="Y12" i="31"/>
  <c r="X12" i="31"/>
  <c r="U12" i="31"/>
  <c r="T12" i="31"/>
  <c r="Q12" i="31"/>
  <c r="P12" i="31"/>
  <c r="I12" i="31"/>
  <c r="H12" i="31"/>
  <c r="E12" i="31"/>
  <c r="D12" i="31"/>
  <c r="AG11" i="31"/>
  <c r="AF11" i="31"/>
  <c r="AC11" i="31"/>
  <c r="AB11" i="31"/>
  <c r="Y11" i="31"/>
  <c r="X11" i="31"/>
  <c r="U11" i="31"/>
  <c r="T11" i="31"/>
  <c r="Q11" i="31"/>
  <c r="P11" i="31"/>
  <c r="I11" i="31"/>
  <c r="H11" i="31"/>
  <c r="E11" i="31"/>
  <c r="D11" i="31"/>
  <c r="AG10" i="31"/>
  <c r="AF10" i="31"/>
  <c r="AC10" i="31"/>
  <c r="AB10" i="31"/>
  <c r="Y10" i="31"/>
  <c r="X10" i="31"/>
  <c r="U10" i="31"/>
  <c r="T10" i="31"/>
  <c r="Q10" i="31"/>
  <c r="P10" i="31"/>
  <c r="I10" i="31"/>
  <c r="H10" i="31"/>
  <c r="E10" i="31"/>
  <c r="D10" i="31"/>
  <c r="A2" i="23"/>
  <c r="M3" i="23"/>
  <c r="B36" i="23"/>
  <c r="I36" i="23"/>
  <c r="G36" i="23"/>
  <c r="F36" i="23"/>
  <c r="E36" i="23"/>
  <c r="D36" i="23"/>
  <c r="C36" i="23"/>
  <c r="K34" i="23"/>
  <c r="K33" i="23"/>
  <c r="K30" i="23"/>
  <c r="K26" i="23"/>
  <c r="I16" i="23"/>
  <c r="G16" i="23"/>
  <c r="F16" i="23"/>
  <c r="E16" i="23"/>
  <c r="D16" i="23"/>
  <c r="C16" i="23"/>
  <c r="B16" i="23"/>
  <c r="K13" i="23"/>
  <c r="K12" i="23"/>
  <c r="K5" i="23"/>
  <c r="AE39" i="30"/>
  <c r="AD39" i="30"/>
  <c r="AA39" i="30"/>
  <c r="Z39" i="30"/>
  <c r="W39" i="30"/>
  <c r="V39" i="30"/>
  <c r="S39" i="30"/>
  <c r="R39" i="30"/>
  <c r="O39" i="30"/>
  <c r="N39" i="30"/>
  <c r="C39" i="30"/>
  <c r="B39" i="30"/>
  <c r="A22" i="22"/>
  <c r="AE22" i="30"/>
  <c r="AD22" i="30"/>
  <c r="AA22" i="30"/>
  <c r="Z22" i="30"/>
  <c r="Y22" i="30"/>
  <c r="X22" i="30"/>
  <c r="S22" i="30"/>
  <c r="R22" i="30"/>
  <c r="O22" i="30"/>
  <c r="N22" i="30"/>
  <c r="C22" i="30"/>
  <c r="B22" i="30"/>
  <c r="AG21" i="30"/>
  <c r="AF21" i="30"/>
  <c r="AC21" i="30"/>
  <c r="AB21" i="30"/>
  <c r="Y21" i="30"/>
  <c r="X21" i="30"/>
  <c r="U21" i="30"/>
  <c r="T21" i="30"/>
  <c r="Q21" i="30"/>
  <c r="P21" i="30"/>
  <c r="E21" i="30"/>
  <c r="D21" i="30"/>
  <c r="AG20" i="30"/>
  <c r="AF20" i="30"/>
  <c r="AC20" i="30"/>
  <c r="AB20" i="30"/>
  <c r="Y20" i="30"/>
  <c r="X20" i="30"/>
  <c r="U20" i="30"/>
  <c r="T20" i="30"/>
  <c r="Q20" i="30"/>
  <c r="P20" i="30"/>
  <c r="E20" i="30"/>
  <c r="D20" i="30"/>
  <c r="AG19" i="30"/>
  <c r="AF19" i="30"/>
  <c r="AC19" i="30"/>
  <c r="AB19" i="30"/>
  <c r="Y19" i="30"/>
  <c r="X19" i="30"/>
  <c r="U19" i="30"/>
  <c r="T19" i="30"/>
  <c r="Q19" i="30"/>
  <c r="P19" i="30"/>
  <c r="E19" i="30"/>
  <c r="D19" i="30"/>
  <c r="AG18" i="30"/>
  <c r="AF18" i="30"/>
  <c r="AC18" i="30"/>
  <c r="AB18" i="30"/>
  <c r="Y18" i="30"/>
  <c r="X18" i="30"/>
  <c r="U18" i="30"/>
  <c r="T18" i="30"/>
  <c r="Q18" i="30"/>
  <c r="P18" i="30"/>
  <c r="E18" i="30"/>
  <c r="D18" i="30"/>
  <c r="AG17" i="30"/>
  <c r="AF17" i="30"/>
  <c r="AC17" i="30"/>
  <c r="AB17" i="30"/>
  <c r="Y17" i="30"/>
  <c r="X17" i="30"/>
  <c r="U17" i="30"/>
  <c r="T17" i="30"/>
  <c r="Q17" i="30"/>
  <c r="P17" i="30"/>
  <c r="E17" i="30"/>
  <c r="D17" i="30"/>
  <c r="AG16" i="30"/>
  <c r="AF16" i="30"/>
  <c r="AC16" i="30"/>
  <c r="AB16" i="30"/>
  <c r="Y16" i="30"/>
  <c r="X16" i="30"/>
  <c r="U16" i="30"/>
  <c r="T16" i="30"/>
  <c r="Q16" i="30"/>
  <c r="P16" i="30"/>
  <c r="E16" i="30"/>
  <c r="D16" i="30"/>
  <c r="AG15" i="30"/>
  <c r="AF15" i="30"/>
  <c r="AC15" i="30"/>
  <c r="AB15" i="30"/>
  <c r="Y15" i="30"/>
  <c r="X15" i="30"/>
  <c r="U15" i="30"/>
  <c r="T15" i="30"/>
  <c r="Q15" i="30"/>
  <c r="P15" i="30"/>
  <c r="E15" i="30"/>
  <c r="D15" i="30"/>
  <c r="AG14" i="30"/>
  <c r="AF14" i="30"/>
  <c r="AC14" i="30"/>
  <c r="AB14" i="30"/>
  <c r="Y14" i="30"/>
  <c r="X14" i="30"/>
  <c r="U14" i="30"/>
  <c r="T14" i="30"/>
  <c r="Q14" i="30"/>
  <c r="P14" i="30"/>
  <c r="E14" i="30"/>
  <c r="D14" i="30"/>
  <c r="AG13" i="30"/>
  <c r="AF13" i="30"/>
  <c r="AC13" i="30"/>
  <c r="AB13" i="30"/>
  <c r="Y13" i="30"/>
  <c r="X13" i="30"/>
  <c r="U13" i="30"/>
  <c r="T13" i="30"/>
  <c r="Q13" i="30"/>
  <c r="P13" i="30"/>
  <c r="E13" i="30"/>
  <c r="D13" i="30"/>
  <c r="AG12" i="30"/>
  <c r="AF12" i="30"/>
  <c r="AC12" i="30"/>
  <c r="AB12" i="30"/>
  <c r="Y12" i="30"/>
  <c r="X12" i="30"/>
  <c r="U12" i="30"/>
  <c r="T12" i="30"/>
  <c r="Q12" i="30"/>
  <c r="P12" i="30"/>
  <c r="E12" i="30"/>
  <c r="D12" i="30"/>
  <c r="AG11" i="30"/>
  <c r="AF11" i="30"/>
  <c r="AC11" i="30"/>
  <c r="AB11" i="30"/>
  <c r="Y11" i="30"/>
  <c r="X11" i="30"/>
  <c r="U11" i="30"/>
  <c r="T11" i="30"/>
  <c r="Q11" i="30"/>
  <c r="P11" i="30"/>
  <c r="E11" i="30"/>
  <c r="D11" i="30"/>
  <c r="AG10" i="30"/>
  <c r="AF10" i="30"/>
  <c r="AC10" i="30"/>
  <c r="AB10" i="30"/>
  <c r="Y10" i="30"/>
  <c r="X10" i="30"/>
  <c r="U10" i="30"/>
  <c r="T10" i="30"/>
  <c r="Q10" i="30"/>
  <c r="P10" i="30"/>
  <c r="E10" i="30"/>
  <c r="D10" i="30"/>
  <c r="A2" i="22"/>
  <c r="M3" i="22"/>
  <c r="J36" i="22"/>
  <c r="B36" i="22"/>
  <c r="I36" i="22"/>
  <c r="G36" i="22"/>
  <c r="F36" i="22"/>
  <c r="E36" i="22"/>
  <c r="D36" i="22"/>
  <c r="C36" i="22"/>
  <c r="K35" i="22"/>
  <c r="K34" i="22"/>
  <c r="K33" i="22"/>
  <c r="K32" i="22"/>
  <c r="K31" i="22"/>
  <c r="K30" i="22"/>
  <c r="K29" i="22"/>
  <c r="K28" i="22"/>
  <c r="K27" i="22"/>
  <c r="K26" i="22"/>
  <c r="K25" i="22"/>
  <c r="K24" i="22"/>
  <c r="I16" i="22"/>
  <c r="G16" i="22"/>
  <c r="F16" i="22"/>
  <c r="E16" i="22"/>
  <c r="D16" i="22"/>
  <c r="C16" i="22"/>
  <c r="B16" i="22"/>
  <c r="K6" i="22"/>
  <c r="AM39" i="29"/>
  <c r="AL39" i="29"/>
  <c r="AI39" i="29"/>
  <c r="AH39" i="29"/>
  <c r="AE39" i="29"/>
  <c r="AD39" i="29"/>
  <c r="AA39" i="29"/>
  <c r="Z39" i="29"/>
  <c r="W39" i="29"/>
  <c r="V39" i="29"/>
  <c r="S39" i="29"/>
  <c r="R39" i="29"/>
  <c r="O39" i="29"/>
  <c r="N39" i="29"/>
  <c r="G39" i="29"/>
  <c r="F39" i="29"/>
  <c r="C39" i="29"/>
  <c r="B39" i="29"/>
  <c r="A22" i="21"/>
  <c r="AM22" i="29"/>
  <c r="AL22" i="29"/>
  <c r="AI22" i="29"/>
  <c r="AH22" i="29"/>
  <c r="AE22" i="29"/>
  <c r="AD22" i="29"/>
  <c r="AA22" i="29"/>
  <c r="Z22" i="29"/>
  <c r="W22" i="29"/>
  <c r="V22" i="29"/>
  <c r="S22" i="29"/>
  <c r="R22" i="29"/>
  <c r="O22" i="29"/>
  <c r="N22" i="29"/>
  <c r="G22" i="29"/>
  <c r="F22" i="29"/>
  <c r="C22" i="29"/>
  <c r="B22" i="29"/>
  <c r="AO21" i="29"/>
  <c r="AN21" i="29"/>
  <c r="AK21" i="29"/>
  <c r="AJ21" i="29"/>
  <c r="AG21" i="29"/>
  <c r="AF21" i="29"/>
  <c r="AC21" i="29"/>
  <c r="AB21" i="29"/>
  <c r="Y21" i="29"/>
  <c r="X21" i="29"/>
  <c r="U21" i="29"/>
  <c r="T21" i="29"/>
  <c r="Q21" i="29"/>
  <c r="P21" i="29"/>
  <c r="I21" i="29"/>
  <c r="H21" i="29"/>
  <c r="E21" i="29"/>
  <c r="D21" i="29"/>
  <c r="AO20" i="29"/>
  <c r="AN20" i="29"/>
  <c r="AK20" i="29"/>
  <c r="AJ20" i="29"/>
  <c r="AG20" i="29"/>
  <c r="AF20" i="29"/>
  <c r="AC20" i="29"/>
  <c r="AB20" i="29"/>
  <c r="Y20" i="29"/>
  <c r="X20" i="29"/>
  <c r="U20" i="29"/>
  <c r="T20" i="29"/>
  <c r="Q20" i="29"/>
  <c r="P20" i="29"/>
  <c r="I20" i="29"/>
  <c r="H20" i="29"/>
  <c r="E20" i="29"/>
  <c r="D20" i="29"/>
  <c r="AO19" i="29"/>
  <c r="AN19" i="29"/>
  <c r="AK19" i="29"/>
  <c r="AJ19" i="29"/>
  <c r="AG19" i="29"/>
  <c r="AF19" i="29"/>
  <c r="AC19" i="29"/>
  <c r="AB19" i="29"/>
  <c r="Y19" i="29"/>
  <c r="X19" i="29"/>
  <c r="U19" i="29"/>
  <c r="T19" i="29"/>
  <c r="Q19" i="29"/>
  <c r="P19" i="29"/>
  <c r="I19" i="29"/>
  <c r="H19" i="29"/>
  <c r="E19" i="29"/>
  <c r="D19" i="29"/>
  <c r="AO18" i="29"/>
  <c r="AN18" i="29"/>
  <c r="AK18" i="29"/>
  <c r="AJ18" i="29"/>
  <c r="AG18" i="29"/>
  <c r="AF18" i="29"/>
  <c r="AC18" i="29"/>
  <c r="AB18" i="29"/>
  <c r="Y18" i="29"/>
  <c r="X18" i="29"/>
  <c r="U18" i="29"/>
  <c r="T18" i="29"/>
  <c r="Q18" i="29"/>
  <c r="P18" i="29"/>
  <c r="I18" i="29"/>
  <c r="H18" i="29"/>
  <c r="E18" i="29"/>
  <c r="D18" i="29"/>
  <c r="AO17" i="29"/>
  <c r="AN17" i="29"/>
  <c r="AK17" i="29"/>
  <c r="AJ17" i="29"/>
  <c r="AG17" i="29"/>
  <c r="AF17" i="29"/>
  <c r="AC17" i="29"/>
  <c r="AB17" i="29"/>
  <c r="Y17" i="29"/>
  <c r="X17" i="29"/>
  <c r="U17" i="29"/>
  <c r="T17" i="29"/>
  <c r="Q17" i="29"/>
  <c r="P17" i="29"/>
  <c r="I17" i="29"/>
  <c r="H17" i="29"/>
  <c r="E17" i="29"/>
  <c r="D17" i="29"/>
  <c r="AO16" i="29"/>
  <c r="AN16" i="29"/>
  <c r="AK16" i="29"/>
  <c r="AJ16" i="29"/>
  <c r="AG16" i="29"/>
  <c r="AF16" i="29"/>
  <c r="AC16" i="29"/>
  <c r="AB16" i="29"/>
  <c r="Y16" i="29"/>
  <c r="X16" i="29"/>
  <c r="U16" i="29"/>
  <c r="T16" i="29"/>
  <c r="Q16" i="29"/>
  <c r="P16" i="29"/>
  <c r="I16" i="29"/>
  <c r="H16" i="29"/>
  <c r="E16" i="29"/>
  <c r="D16" i="29"/>
  <c r="AO15" i="29"/>
  <c r="AN15" i="29"/>
  <c r="AK15" i="29"/>
  <c r="AJ15" i="29"/>
  <c r="AG15" i="29"/>
  <c r="AF15" i="29"/>
  <c r="AC15" i="29"/>
  <c r="AB15" i="29"/>
  <c r="Y15" i="29"/>
  <c r="X15" i="29"/>
  <c r="U15" i="29"/>
  <c r="T15" i="29"/>
  <c r="Q15" i="29"/>
  <c r="P15" i="29"/>
  <c r="I15" i="29"/>
  <c r="H15" i="29"/>
  <c r="E15" i="29"/>
  <c r="D15" i="29"/>
  <c r="AO14" i="29"/>
  <c r="AN14" i="29"/>
  <c r="AK14" i="29"/>
  <c r="AJ14" i="29"/>
  <c r="AG14" i="29"/>
  <c r="AF14" i="29"/>
  <c r="AC14" i="29"/>
  <c r="AB14" i="29"/>
  <c r="Y14" i="29"/>
  <c r="X14" i="29"/>
  <c r="U14" i="29"/>
  <c r="T14" i="29"/>
  <c r="Q14" i="29"/>
  <c r="P14" i="29"/>
  <c r="I14" i="29"/>
  <c r="H14" i="29"/>
  <c r="E14" i="29"/>
  <c r="D14" i="29"/>
  <c r="AO13" i="29"/>
  <c r="AN13" i="29"/>
  <c r="AK13" i="29"/>
  <c r="AJ13" i="29"/>
  <c r="AG13" i="29"/>
  <c r="AF13" i="29"/>
  <c r="AC13" i="29"/>
  <c r="AB13" i="29"/>
  <c r="Y13" i="29"/>
  <c r="X13" i="29"/>
  <c r="U13" i="29"/>
  <c r="T13" i="29"/>
  <c r="Q13" i="29"/>
  <c r="P13" i="29"/>
  <c r="I13" i="29"/>
  <c r="H13" i="29"/>
  <c r="E13" i="29"/>
  <c r="D13" i="29"/>
  <c r="AO12" i="29"/>
  <c r="AN12" i="29"/>
  <c r="AK12" i="29"/>
  <c r="AJ12" i="29"/>
  <c r="AG12" i="29"/>
  <c r="AF12" i="29"/>
  <c r="AC12" i="29"/>
  <c r="AB12" i="29"/>
  <c r="Y12" i="29"/>
  <c r="X12" i="29"/>
  <c r="U12" i="29"/>
  <c r="T12" i="29"/>
  <c r="Q12" i="29"/>
  <c r="P12" i="29"/>
  <c r="I12" i="29"/>
  <c r="H12" i="29"/>
  <c r="E12" i="29"/>
  <c r="D12" i="29"/>
  <c r="AO11" i="29"/>
  <c r="AN11" i="29"/>
  <c r="AK11" i="29"/>
  <c r="AJ11" i="29"/>
  <c r="AG11" i="29"/>
  <c r="AF11" i="29"/>
  <c r="AC11" i="29"/>
  <c r="AB11" i="29"/>
  <c r="Y11" i="29"/>
  <c r="X11" i="29"/>
  <c r="U11" i="29"/>
  <c r="T11" i="29"/>
  <c r="Q11" i="29"/>
  <c r="P11" i="29"/>
  <c r="I11" i="29"/>
  <c r="H11" i="29"/>
  <c r="E11" i="29"/>
  <c r="D11" i="29"/>
  <c r="AO10" i="29"/>
  <c r="AN10" i="29"/>
  <c r="AK10" i="29"/>
  <c r="AJ10" i="29"/>
  <c r="AG10" i="29"/>
  <c r="AF10" i="29"/>
  <c r="AC10" i="29"/>
  <c r="AB10" i="29"/>
  <c r="Y10" i="29"/>
  <c r="X10" i="29"/>
  <c r="U10" i="29"/>
  <c r="T10" i="29"/>
  <c r="Q10" i="29"/>
  <c r="P10" i="29"/>
  <c r="I10" i="29"/>
  <c r="H10" i="29"/>
  <c r="E10" i="29"/>
  <c r="D10" i="29"/>
  <c r="A2" i="21"/>
  <c r="B36" i="21"/>
  <c r="J36" i="21"/>
  <c r="G36" i="21"/>
  <c r="F36" i="21"/>
  <c r="E36" i="21"/>
  <c r="D36" i="21"/>
  <c r="C36" i="21"/>
  <c r="L34" i="21"/>
  <c r="L33" i="21"/>
  <c r="L30" i="21"/>
  <c r="L29" i="21"/>
  <c r="L26" i="21"/>
  <c r="L25" i="21"/>
  <c r="J16" i="21"/>
  <c r="G16" i="21"/>
  <c r="F16" i="21"/>
  <c r="E16" i="21"/>
  <c r="D16" i="21"/>
  <c r="A20" i="21"/>
  <c r="K4" i="21"/>
  <c r="K5" i="21"/>
  <c r="K6" i="21"/>
  <c r="K7" i="21"/>
  <c r="K8" i="21"/>
  <c r="K9" i="21"/>
  <c r="K10" i="21"/>
  <c r="K11" i="21"/>
  <c r="L11" i="21"/>
  <c r="K12" i="21"/>
  <c r="K13" i="21"/>
  <c r="K14" i="21"/>
  <c r="K15" i="21"/>
  <c r="B16" i="21"/>
  <c r="AM39" i="28"/>
  <c r="AL39" i="28"/>
  <c r="AI39" i="28"/>
  <c r="AH39" i="28"/>
  <c r="AE39" i="28"/>
  <c r="AD39" i="28"/>
  <c r="AA39" i="28"/>
  <c r="Z39" i="28"/>
  <c r="W39" i="28"/>
  <c r="V39" i="28"/>
  <c r="X39" i="28"/>
  <c r="S39" i="28"/>
  <c r="R39" i="28"/>
  <c r="O39" i="28"/>
  <c r="N39" i="28"/>
  <c r="G39" i="28"/>
  <c r="F39" i="28"/>
  <c r="A23" i="28"/>
  <c r="AM22" i="28"/>
  <c r="AL22" i="28"/>
  <c r="AI22" i="28"/>
  <c r="AH22" i="28"/>
  <c r="AE22" i="28"/>
  <c r="AD22" i="28"/>
  <c r="AA22" i="28"/>
  <c r="Z22" i="28"/>
  <c r="W22" i="28"/>
  <c r="V22" i="28"/>
  <c r="X22" i="28"/>
  <c r="S22" i="28"/>
  <c r="R22" i="28"/>
  <c r="O22" i="28"/>
  <c r="N22" i="28"/>
  <c r="P22" i="28"/>
  <c r="G22" i="28"/>
  <c r="F22" i="28"/>
  <c r="AO21" i="28"/>
  <c r="AN21" i="28"/>
  <c r="AK21" i="28"/>
  <c r="AJ21" i="28"/>
  <c r="AG21" i="28"/>
  <c r="AF21" i="28"/>
  <c r="AC21" i="28"/>
  <c r="AB21" i="28"/>
  <c r="Y21" i="28"/>
  <c r="X21" i="28"/>
  <c r="U21" i="28"/>
  <c r="T21" i="28"/>
  <c r="Q21" i="28"/>
  <c r="P21" i="28"/>
  <c r="I21" i="28"/>
  <c r="H21" i="28"/>
  <c r="AO20" i="28"/>
  <c r="AN20" i="28"/>
  <c r="AK20" i="28"/>
  <c r="AJ20" i="28"/>
  <c r="AG20" i="28"/>
  <c r="AF20" i="28"/>
  <c r="AC20" i="28"/>
  <c r="AB20" i="28"/>
  <c r="Y20" i="28"/>
  <c r="X20" i="28"/>
  <c r="U20" i="28"/>
  <c r="T20" i="28"/>
  <c r="Q20" i="28"/>
  <c r="P20" i="28"/>
  <c r="I20" i="28"/>
  <c r="H20" i="28"/>
  <c r="AO19" i="28"/>
  <c r="AN19" i="28"/>
  <c r="AK19" i="28"/>
  <c r="AJ19" i="28"/>
  <c r="AG19" i="28"/>
  <c r="AF19" i="28"/>
  <c r="AC19" i="28"/>
  <c r="AB19" i="28"/>
  <c r="Y19" i="28"/>
  <c r="X19" i="28"/>
  <c r="U19" i="28"/>
  <c r="T19" i="28"/>
  <c r="Q19" i="28"/>
  <c r="P19" i="28"/>
  <c r="I19" i="28"/>
  <c r="H19" i="28"/>
  <c r="AO18" i="28"/>
  <c r="AN18" i="28"/>
  <c r="AK18" i="28"/>
  <c r="AJ18" i="28"/>
  <c r="AG18" i="28"/>
  <c r="AF18" i="28"/>
  <c r="AC18" i="28"/>
  <c r="AB18" i="28"/>
  <c r="Y18" i="28"/>
  <c r="X18" i="28"/>
  <c r="U18" i="28"/>
  <c r="T18" i="28"/>
  <c r="Q18" i="28"/>
  <c r="P18" i="28"/>
  <c r="I18" i="28"/>
  <c r="H18" i="28"/>
  <c r="AO17" i="28"/>
  <c r="AN17" i="28"/>
  <c r="AK17" i="28"/>
  <c r="AJ17" i="28"/>
  <c r="AG17" i="28"/>
  <c r="AF17" i="28"/>
  <c r="AC17" i="28"/>
  <c r="AB17" i="28"/>
  <c r="Y17" i="28"/>
  <c r="X17" i="28"/>
  <c r="U17" i="28"/>
  <c r="T17" i="28"/>
  <c r="Q17" i="28"/>
  <c r="P17" i="28"/>
  <c r="I17" i="28"/>
  <c r="H17" i="28"/>
  <c r="AO16" i="28"/>
  <c r="AN16" i="28"/>
  <c r="AK16" i="28"/>
  <c r="AJ16" i="28"/>
  <c r="AG16" i="28"/>
  <c r="AF16" i="28"/>
  <c r="AC16" i="28"/>
  <c r="AB16" i="28"/>
  <c r="Y16" i="28"/>
  <c r="X16" i="28"/>
  <c r="U16" i="28"/>
  <c r="T16" i="28"/>
  <c r="Q16" i="28"/>
  <c r="P16" i="28"/>
  <c r="I16" i="28"/>
  <c r="H16" i="28"/>
  <c r="AO15" i="28"/>
  <c r="AN15" i="28"/>
  <c r="AK15" i="28"/>
  <c r="AJ15" i="28"/>
  <c r="AG15" i="28"/>
  <c r="AF15" i="28"/>
  <c r="AC15" i="28"/>
  <c r="AB15" i="28"/>
  <c r="Y15" i="28"/>
  <c r="X15" i="28"/>
  <c r="U15" i="28"/>
  <c r="T15" i="28"/>
  <c r="Q15" i="28"/>
  <c r="P15" i="28"/>
  <c r="I15" i="28"/>
  <c r="H15" i="28"/>
  <c r="AO14" i="28"/>
  <c r="AN14" i="28"/>
  <c r="AK14" i="28"/>
  <c r="AJ14" i="28"/>
  <c r="AG14" i="28"/>
  <c r="AF14" i="28"/>
  <c r="AC14" i="28"/>
  <c r="AB14" i="28"/>
  <c r="Y14" i="28"/>
  <c r="X14" i="28"/>
  <c r="U14" i="28"/>
  <c r="T14" i="28"/>
  <c r="Q14" i="28"/>
  <c r="P14" i="28"/>
  <c r="I14" i="28"/>
  <c r="H14" i="28"/>
  <c r="AO13" i="28"/>
  <c r="AN13" i="28"/>
  <c r="AK13" i="28"/>
  <c r="AJ13" i="28"/>
  <c r="AG13" i="28"/>
  <c r="AF13" i="28"/>
  <c r="AC13" i="28"/>
  <c r="AB13" i="28"/>
  <c r="Y13" i="28"/>
  <c r="X13" i="28"/>
  <c r="U13" i="28"/>
  <c r="T13" i="28"/>
  <c r="Q13" i="28"/>
  <c r="P13" i="28"/>
  <c r="I13" i="28"/>
  <c r="H13" i="28"/>
  <c r="AO12" i="28"/>
  <c r="AN12" i="28"/>
  <c r="AK12" i="28"/>
  <c r="AJ12" i="28"/>
  <c r="AG12" i="28"/>
  <c r="AF12" i="28"/>
  <c r="AC12" i="28"/>
  <c r="AB12" i="28"/>
  <c r="Y12" i="28"/>
  <c r="X12" i="28"/>
  <c r="U12" i="28"/>
  <c r="T12" i="28"/>
  <c r="Q12" i="28"/>
  <c r="P12" i="28"/>
  <c r="I12" i="28"/>
  <c r="H12" i="28"/>
  <c r="AO11" i="28"/>
  <c r="AN11" i="28"/>
  <c r="AK11" i="28"/>
  <c r="AJ11" i="28"/>
  <c r="AG11" i="28"/>
  <c r="AF11" i="28"/>
  <c r="AC11" i="28"/>
  <c r="AB11" i="28"/>
  <c r="Y11" i="28"/>
  <c r="X11" i="28"/>
  <c r="U11" i="28"/>
  <c r="T11" i="28"/>
  <c r="Q11" i="28"/>
  <c r="P11" i="28"/>
  <c r="I11" i="28"/>
  <c r="H11" i="28"/>
  <c r="AO10" i="28"/>
  <c r="AN10" i="28"/>
  <c r="AK10" i="28"/>
  <c r="AJ10" i="28"/>
  <c r="AG10" i="28"/>
  <c r="AF10" i="28"/>
  <c r="AC10" i="28"/>
  <c r="AB10" i="28"/>
  <c r="Y10" i="28"/>
  <c r="X10" i="28"/>
  <c r="U10" i="28"/>
  <c r="T10" i="28"/>
  <c r="Q10" i="28"/>
  <c r="P10" i="28"/>
  <c r="I10" i="28"/>
  <c r="H10" i="28"/>
  <c r="A2" i="20"/>
  <c r="B36" i="20"/>
  <c r="H36" i="20"/>
  <c r="G36" i="20"/>
  <c r="F36" i="20"/>
  <c r="E36" i="20"/>
  <c r="D36" i="20"/>
  <c r="C36" i="20"/>
  <c r="J34" i="20"/>
  <c r="J30" i="20"/>
  <c r="J29" i="20"/>
  <c r="H16" i="20"/>
  <c r="G16" i="20"/>
  <c r="F16" i="20"/>
  <c r="E16" i="20"/>
  <c r="D16" i="20"/>
  <c r="C16" i="20"/>
  <c r="A20" i="20"/>
  <c r="B16" i="20"/>
  <c r="J13" i="20"/>
  <c r="J12" i="20"/>
  <c r="J9" i="20"/>
  <c r="J8" i="20"/>
  <c r="J5" i="20"/>
  <c r="J4" i="20"/>
  <c r="AM39" i="27"/>
  <c r="AL39" i="27"/>
  <c r="AI39" i="27"/>
  <c r="AH39" i="27"/>
  <c r="AE39" i="27"/>
  <c r="AD39" i="27"/>
  <c r="AA39" i="27"/>
  <c r="Z39" i="27"/>
  <c r="W39" i="27"/>
  <c r="V39" i="27"/>
  <c r="S39" i="27"/>
  <c r="R39" i="27"/>
  <c r="O39" i="27"/>
  <c r="N39" i="27"/>
  <c r="G39" i="27"/>
  <c r="F39" i="27"/>
  <c r="A23" i="27"/>
  <c r="AM22" i="27"/>
  <c r="AL22" i="27"/>
  <c r="AI22" i="27"/>
  <c r="AH22" i="27"/>
  <c r="AE22" i="27"/>
  <c r="AD22" i="27"/>
  <c r="AA22" i="27"/>
  <c r="Z22" i="27"/>
  <c r="W22" i="27"/>
  <c r="V22" i="27"/>
  <c r="S22" i="27"/>
  <c r="R22" i="27"/>
  <c r="O22" i="27"/>
  <c r="N22" i="27"/>
  <c r="G22" i="27"/>
  <c r="F22" i="27"/>
  <c r="AO21" i="27"/>
  <c r="AN21" i="27"/>
  <c r="AK21" i="27"/>
  <c r="AJ21" i="27"/>
  <c r="AG21" i="27"/>
  <c r="AF21" i="27"/>
  <c r="AC21" i="27"/>
  <c r="AB21" i="27"/>
  <c r="Y21" i="27"/>
  <c r="X21" i="27"/>
  <c r="U21" i="27"/>
  <c r="T21" i="27"/>
  <c r="Q21" i="27"/>
  <c r="P21" i="27"/>
  <c r="I21" i="27"/>
  <c r="H21" i="27"/>
  <c r="AO20" i="27"/>
  <c r="AN20" i="27"/>
  <c r="AK20" i="27"/>
  <c r="AJ20" i="27"/>
  <c r="AG20" i="27"/>
  <c r="AF20" i="27"/>
  <c r="AC20" i="27"/>
  <c r="AB20" i="27"/>
  <c r="Y20" i="27"/>
  <c r="X20" i="27"/>
  <c r="U20" i="27"/>
  <c r="T20" i="27"/>
  <c r="Q20" i="27"/>
  <c r="P20" i="27"/>
  <c r="I20" i="27"/>
  <c r="H20" i="27"/>
  <c r="AO19" i="27"/>
  <c r="AN19" i="27"/>
  <c r="AK19" i="27"/>
  <c r="AJ19" i="27"/>
  <c r="AG19" i="27"/>
  <c r="AF19" i="27"/>
  <c r="AC19" i="27"/>
  <c r="AB19" i="27"/>
  <c r="Y19" i="27"/>
  <c r="X19" i="27"/>
  <c r="U19" i="27"/>
  <c r="T19" i="27"/>
  <c r="Q19" i="27"/>
  <c r="P19" i="27"/>
  <c r="I19" i="27"/>
  <c r="H19" i="27"/>
  <c r="AO18" i="27"/>
  <c r="AN18" i="27"/>
  <c r="AK18" i="27"/>
  <c r="AJ18" i="27"/>
  <c r="AG18" i="27"/>
  <c r="AF18" i="27"/>
  <c r="AC18" i="27"/>
  <c r="AB18" i="27"/>
  <c r="Y18" i="27"/>
  <c r="X18" i="27"/>
  <c r="U18" i="27"/>
  <c r="T18" i="27"/>
  <c r="Q18" i="27"/>
  <c r="P18" i="27"/>
  <c r="I18" i="27"/>
  <c r="H18" i="27"/>
  <c r="AO17" i="27"/>
  <c r="AN17" i="27"/>
  <c r="AK17" i="27"/>
  <c r="AJ17" i="27"/>
  <c r="AG17" i="27"/>
  <c r="AF17" i="27"/>
  <c r="AC17" i="27"/>
  <c r="AB17" i="27"/>
  <c r="Y17" i="27"/>
  <c r="X17" i="27"/>
  <c r="U17" i="27"/>
  <c r="T17" i="27"/>
  <c r="Q17" i="27"/>
  <c r="P17" i="27"/>
  <c r="I17" i="27"/>
  <c r="H17" i="27"/>
  <c r="AO16" i="27"/>
  <c r="AN16" i="27"/>
  <c r="AK16" i="27"/>
  <c r="AJ16" i="27"/>
  <c r="AG16" i="27"/>
  <c r="AF16" i="27"/>
  <c r="AC16" i="27"/>
  <c r="AB16" i="27"/>
  <c r="Y16" i="27"/>
  <c r="X16" i="27"/>
  <c r="U16" i="27"/>
  <c r="T16" i="27"/>
  <c r="Q16" i="27"/>
  <c r="P16" i="27"/>
  <c r="I16" i="27"/>
  <c r="H16" i="27"/>
  <c r="AO15" i="27"/>
  <c r="AN15" i="27"/>
  <c r="AK15" i="27"/>
  <c r="AJ15" i="27"/>
  <c r="AG15" i="27"/>
  <c r="AF15" i="27"/>
  <c r="AC15" i="27"/>
  <c r="AB15" i="27"/>
  <c r="Y15" i="27"/>
  <c r="X15" i="27"/>
  <c r="U15" i="27"/>
  <c r="T15" i="27"/>
  <c r="Q15" i="27"/>
  <c r="P15" i="27"/>
  <c r="I15" i="27"/>
  <c r="H15" i="27"/>
  <c r="AO14" i="27"/>
  <c r="AN14" i="27"/>
  <c r="AK14" i="27"/>
  <c r="AJ14" i="27"/>
  <c r="AG14" i="27"/>
  <c r="AF14" i="27"/>
  <c r="AC14" i="27"/>
  <c r="AB14" i="27"/>
  <c r="Y14" i="27"/>
  <c r="X14" i="27"/>
  <c r="U14" i="27"/>
  <c r="T14" i="27"/>
  <c r="Q14" i="27"/>
  <c r="P14" i="27"/>
  <c r="I14" i="27"/>
  <c r="H14" i="27"/>
  <c r="AO13" i="27"/>
  <c r="AN13" i="27"/>
  <c r="AK13" i="27"/>
  <c r="AJ13" i="27"/>
  <c r="AG13" i="27"/>
  <c r="AF13" i="27"/>
  <c r="AC13" i="27"/>
  <c r="AB13" i="27"/>
  <c r="Y13" i="27"/>
  <c r="X13" i="27"/>
  <c r="U13" i="27"/>
  <c r="T13" i="27"/>
  <c r="Q13" i="27"/>
  <c r="P13" i="27"/>
  <c r="I13" i="27"/>
  <c r="H13" i="27"/>
  <c r="AO12" i="27"/>
  <c r="AN12" i="27"/>
  <c r="AK12" i="27"/>
  <c r="AJ12" i="27"/>
  <c r="AG12" i="27"/>
  <c r="AF12" i="27"/>
  <c r="AC12" i="27"/>
  <c r="AB12" i="27"/>
  <c r="Y12" i="27"/>
  <c r="X12" i="27"/>
  <c r="U12" i="27"/>
  <c r="T12" i="27"/>
  <c r="Q12" i="27"/>
  <c r="P12" i="27"/>
  <c r="I12" i="27"/>
  <c r="H12" i="27"/>
  <c r="AO11" i="27"/>
  <c r="AN11" i="27"/>
  <c r="AK11" i="27"/>
  <c r="AJ11" i="27"/>
  <c r="AG11" i="27"/>
  <c r="AF11" i="27"/>
  <c r="AC11" i="27"/>
  <c r="AB11" i="27"/>
  <c r="Y11" i="27"/>
  <c r="X11" i="27"/>
  <c r="U11" i="27"/>
  <c r="T11" i="27"/>
  <c r="Q11" i="27"/>
  <c r="P11" i="27"/>
  <c r="I11" i="27"/>
  <c r="H11" i="27"/>
  <c r="AO10" i="27"/>
  <c r="AN10" i="27"/>
  <c r="AK10" i="27"/>
  <c r="AJ10" i="27"/>
  <c r="AG10" i="27"/>
  <c r="AF10" i="27"/>
  <c r="AC10" i="27"/>
  <c r="AB10" i="27"/>
  <c r="Y10" i="27"/>
  <c r="X10" i="27"/>
  <c r="U10" i="27"/>
  <c r="T10" i="27"/>
  <c r="Q10" i="27"/>
  <c r="P10" i="27"/>
  <c r="I10" i="27"/>
  <c r="H10" i="27"/>
  <c r="A6" i="27"/>
  <c r="B36" i="19"/>
  <c r="I36" i="19"/>
  <c r="G36" i="19"/>
  <c r="F36" i="19"/>
  <c r="E36" i="19"/>
  <c r="D36" i="19"/>
  <c r="C36" i="19"/>
  <c r="K34" i="19"/>
  <c r="K33" i="19"/>
  <c r="K30" i="19"/>
  <c r="K29" i="19"/>
  <c r="K26" i="19"/>
  <c r="K25" i="19"/>
  <c r="A22" i="19"/>
  <c r="M24" i="19"/>
  <c r="I16" i="19"/>
  <c r="I19" i="19"/>
  <c r="G16" i="19"/>
  <c r="F16" i="19"/>
  <c r="E16" i="19"/>
  <c r="D16" i="19"/>
  <c r="C16" i="19"/>
  <c r="A2" i="19"/>
  <c r="M2" i="19"/>
  <c r="B16" i="19"/>
  <c r="K4" i="19"/>
  <c r="AM39" i="26"/>
  <c r="AL39" i="26"/>
  <c r="AI39" i="26"/>
  <c r="AH39" i="26"/>
  <c r="AE39" i="26"/>
  <c r="AD39" i="26"/>
  <c r="AA39" i="26"/>
  <c r="Z39" i="26"/>
  <c r="W39" i="26"/>
  <c r="V39" i="26"/>
  <c r="S39" i="26"/>
  <c r="R39" i="26"/>
  <c r="O39" i="26"/>
  <c r="N39" i="26"/>
  <c r="G39" i="26"/>
  <c r="F39" i="26"/>
  <c r="C39" i="26"/>
  <c r="B39" i="26"/>
  <c r="A23" i="26"/>
  <c r="AM22" i="26"/>
  <c r="AL22" i="26"/>
  <c r="AI22" i="26"/>
  <c r="AH22" i="26"/>
  <c r="AE22" i="26"/>
  <c r="AD22" i="26"/>
  <c r="AA22" i="26"/>
  <c r="Z22" i="26"/>
  <c r="W22" i="26"/>
  <c r="V22" i="26"/>
  <c r="S22" i="26"/>
  <c r="R22" i="26"/>
  <c r="O22" i="26"/>
  <c r="N22" i="26"/>
  <c r="G22" i="26"/>
  <c r="F22" i="26"/>
  <c r="C22" i="26"/>
  <c r="B22" i="26"/>
  <c r="AO21" i="26"/>
  <c r="AN21" i="26"/>
  <c r="AK21" i="26"/>
  <c r="AJ21" i="26"/>
  <c r="AG21" i="26"/>
  <c r="AF21" i="26"/>
  <c r="AC21" i="26"/>
  <c r="AB21" i="26"/>
  <c r="Y21" i="26"/>
  <c r="X21" i="26"/>
  <c r="U21" i="26"/>
  <c r="T21" i="26"/>
  <c r="Q21" i="26"/>
  <c r="P21" i="26"/>
  <c r="I21" i="26"/>
  <c r="H21" i="26"/>
  <c r="E21" i="26"/>
  <c r="D21" i="26"/>
  <c r="AO20" i="26"/>
  <c r="AN20" i="26"/>
  <c r="AK20" i="26"/>
  <c r="AJ20" i="26"/>
  <c r="AG20" i="26"/>
  <c r="AF20" i="26"/>
  <c r="AC20" i="26"/>
  <c r="AB20" i="26"/>
  <c r="Y20" i="26"/>
  <c r="X20" i="26"/>
  <c r="U20" i="26"/>
  <c r="T20" i="26"/>
  <c r="Q20" i="26"/>
  <c r="P20" i="26"/>
  <c r="I20" i="26"/>
  <c r="H20" i="26"/>
  <c r="E20" i="26"/>
  <c r="D20" i="26"/>
  <c r="AO19" i="26"/>
  <c r="AN19" i="26"/>
  <c r="AK19" i="26"/>
  <c r="AJ19" i="26"/>
  <c r="AG19" i="26"/>
  <c r="AF19" i="26"/>
  <c r="AC19" i="26"/>
  <c r="AB19" i="26"/>
  <c r="Y19" i="26"/>
  <c r="X19" i="26"/>
  <c r="U19" i="26"/>
  <c r="T19" i="26"/>
  <c r="Q19" i="26"/>
  <c r="P19" i="26"/>
  <c r="I19" i="26"/>
  <c r="H19" i="26"/>
  <c r="E19" i="26"/>
  <c r="D19" i="26"/>
  <c r="AO18" i="26"/>
  <c r="AN18" i="26"/>
  <c r="AK18" i="26"/>
  <c r="AJ18" i="26"/>
  <c r="AG18" i="26"/>
  <c r="AF18" i="26"/>
  <c r="AC18" i="26"/>
  <c r="AB18" i="26"/>
  <c r="Y18" i="26"/>
  <c r="X18" i="26"/>
  <c r="U18" i="26"/>
  <c r="T18" i="26"/>
  <c r="Q18" i="26"/>
  <c r="P18" i="26"/>
  <c r="I18" i="26"/>
  <c r="H18" i="26"/>
  <c r="E18" i="26"/>
  <c r="D18" i="26"/>
  <c r="AO17" i="26"/>
  <c r="AN17" i="26"/>
  <c r="AK17" i="26"/>
  <c r="AJ17" i="26"/>
  <c r="AG17" i="26"/>
  <c r="AF17" i="26"/>
  <c r="AC17" i="26"/>
  <c r="AB17" i="26"/>
  <c r="Y17" i="26"/>
  <c r="X17" i="26"/>
  <c r="U17" i="26"/>
  <c r="T17" i="26"/>
  <c r="Q17" i="26"/>
  <c r="P17" i="26"/>
  <c r="I17" i="26"/>
  <c r="H17" i="26"/>
  <c r="E17" i="26"/>
  <c r="D17" i="26"/>
  <c r="AO16" i="26"/>
  <c r="AN16" i="26"/>
  <c r="AK16" i="26"/>
  <c r="AJ16" i="26"/>
  <c r="AG16" i="26"/>
  <c r="AF16" i="26"/>
  <c r="AC16" i="26"/>
  <c r="AB16" i="26"/>
  <c r="Y16" i="26"/>
  <c r="X16" i="26"/>
  <c r="U16" i="26"/>
  <c r="T16" i="26"/>
  <c r="Q16" i="26"/>
  <c r="P16" i="26"/>
  <c r="I16" i="26"/>
  <c r="H16" i="26"/>
  <c r="E16" i="26"/>
  <c r="D16" i="26"/>
  <c r="AO15" i="26"/>
  <c r="AN15" i="26"/>
  <c r="AK15" i="26"/>
  <c r="AJ15" i="26"/>
  <c r="AG15" i="26"/>
  <c r="AF15" i="26"/>
  <c r="AC15" i="26"/>
  <c r="AB15" i="26"/>
  <c r="Y15" i="26"/>
  <c r="X15" i="26"/>
  <c r="U15" i="26"/>
  <c r="T15" i="26"/>
  <c r="Q15" i="26"/>
  <c r="P15" i="26"/>
  <c r="I15" i="26"/>
  <c r="H15" i="26"/>
  <c r="E15" i="26"/>
  <c r="D15" i="26"/>
  <c r="AO14" i="26"/>
  <c r="AN14" i="26"/>
  <c r="AK14" i="26"/>
  <c r="AJ14" i="26"/>
  <c r="AG14" i="26"/>
  <c r="AF14" i="26"/>
  <c r="AC14" i="26"/>
  <c r="AB14" i="26"/>
  <c r="Y14" i="26"/>
  <c r="X14" i="26"/>
  <c r="U14" i="26"/>
  <c r="T14" i="26"/>
  <c r="Q14" i="26"/>
  <c r="P14" i="26"/>
  <c r="I14" i="26"/>
  <c r="H14" i="26"/>
  <c r="E14" i="26"/>
  <c r="D14" i="26"/>
  <c r="AO13" i="26"/>
  <c r="AN13" i="26"/>
  <c r="AK13" i="26"/>
  <c r="AJ13" i="26"/>
  <c r="AG13" i="26"/>
  <c r="AF13" i="26"/>
  <c r="AC13" i="26"/>
  <c r="AB13" i="26"/>
  <c r="Y13" i="26"/>
  <c r="X13" i="26"/>
  <c r="U13" i="26"/>
  <c r="T13" i="26"/>
  <c r="Q13" i="26"/>
  <c r="P13" i="26"/>
  <c r="I13" i="26"/>
  <c r="H13" i="26"/>
  <c r="E13" i="26"/>
  <c r="D13" i="26"/>
  <c r="AO12" i="26"/>
  <c r="AN12" i="26"/>
  <c r="AK12" i="26"/>
  <c r="AJ12" i="26"/>
  <c r="AG12" i="26"/>
  <c r="AF12" i="26"/>
  <c r="AC12" i="26"/>
  <c r="AB12" i="26"/>
  <c r="Y12" i="26"/>
  <c r="X12" i="26"/>
  <c r="U12" i="26"/>
  <c r="T12" i="26"/>
  <c r="Q12" i="26"/>
  <c r="P12" i="26"/>
  <c r="I12" i="26"/>
  <c r="H12" i="26"/>
  <c r="E12" i="26"/>
  <c r="D12" i="26"/>
  <c r="AO11" i="26"/>
  <c r="AN11" i="26"/>
  <c r="AK11" i="26"/>
  <c r="AJ11" i="26"/>
  <c r="AG11" i="26"/>
  <c r="AF11" i="26"/>
  <c r="AC11" i="26"/>
  <c r="AB11" i="26"/>
  <c r="Y11" i="26"/>
  <c r="X11" i="26"/>
  <c r="U11" i="26"/>
  <c r="T11" i="26"/>
  <c r="Q11" i="26"/>
  <c r="P11" i="26"/>
  <c r="I11" i="26"/>
  <c r="H11" i="26"/>
  <c r="E11" i="26"/>
  <c r="D11" i="26"/>
  <c r="AO10" i="26"/>
  <c r="AN10" i="26"/>
  <c r="AK10" i="26"/>
  <c r="AJ10" i="26"/>
  <c r="AG10" i="26"/>
  <c r="AF10" i="26"/>
  <c r="AC10" i="26"/>
  <c r="AB10" i="26"/>
  <c r="Y10" i="26"/>
  <c r="X10" i="26"/>
  <c r="U10" i="26"/>
  <c r="T10" i="26"/>
  <c r="Q10" i="26"/>
  <c r="P10" i="26"/>
  <c r="I10" i="26"/>
  <c r="H10" i="26"/>
  <c r="E10" i="26"/>
  <c r="D10" i="26"/>
  <c r="A6" i="26"/>
  <c r="B36" i="18"/>
  <c r="I36" i="18"/>
  <c r="I20" i="18"/>
  <c r="G36" i="18"/>
  <c r="G20" i="18"/>
  <c r="F36" i="18"/>
  <c r="E36" i="18"/>
  <c r="D36" i="18"/>
  <c r="C36" i="18"/>
  <c r="F16" i="18"/>
  <c r="E16" i="18"/>
  <c r="D16" i="18"/>
  <c r="C16" i="18"/>
  <c r="A20" i="18"/>
  <c r="A19" i="18"/>
  <c r="B16" i="18"/>
  <c r="K15" i="18"/>
  <c r="K14" i="18"/>
  <c r="K13" i="18"/>
  <c r="K12" i="18"/>
  <c r="K11" i="18"/>
  <c r="K10" i="18"/>
  <c r="K9" i="18"/>
  <c r="K8" i="18"/>
  <c r="K7" i="18"/>
  <c r="K6" i="18"/>
  <c r="K5" i="18"/>
  <c r="K4" i="18"/>
  <c r="B24" i="35"/>
  <c r="B25" i="35"/>
  <c r="B26" i="35"/>
  <c r="B27" i="35"/>
  <c r="B28" i="35"/>
  <c r="B29" i="35"/>
  <c r="B30" i="35"/>
  <c r="B31" i="35"/>
  <c r="B32" i="35"/>
  <c r="B33" i="35"/>
  <c r="B34" i="35"/>
  <c r="B35" i="35"/>
  <c r="K24" i="35"/>
  <c r="K25" i="35"/>
  <c r="K26" i="35"/>
  <c r="K27" i="35"/>
  <c r="K28" i="35"/>
  <c r="K29" i="35"/>
  <c r="K30" i="35"/>
  <c r="K31" i="35"/>
  <c r="K32" i="35"/>
  <c r="K33" i="35"/>
  <c r="K34" i="35"/>
  <c r="K35" i="35"/>
  <c r="G24" i="35"/>
  <c r="G25" i="35"/>
  <c r="G26" i="35"/>
  <c r="G27" i="35"/>
  <c r="G28" i="35"/>
  <c r="G29" i="35"/>
  <c r="G30" i="35"/>
  <c r="G31" i="35"/>
  <c r="G32" i="35"/>
  <c r="G33" i="35"/>
  <c r="G34" i="35"/>
  <c r="G35" i="35"/>
  <c r="F24" i="35"/>
  <c r="F25" i="35"/>
  <c r="F26" i="35"/>
  <c r="F27" i="35"/>
  <c r="F28" i="35"/>
  <c r="F29" i="35"/>
  <c r="F30" i="35"/>
  <c r="F31" i="35"/>
  <c r="F32" i="35"/>
  <c r="F33" i="35"/>
  <c r="F34" i="35"/>
  <c r="F35" i="35"/>
  <c r="E24" i="35"/>
  <c r="E25" i="35"/>
  <c r="E26" i="35"/>
  <c r="E27" i="35"/>
  <c r="E28" i="35"/>
  <c r="E29" i="35"/>
  <c r="E30" i="35"/>
  <c r="E31" i="35"/>
  <c r="E32" i="35"/>
  <c r="E33" i="35"/>
  <c r="E34" i="35"/>
  <c r="E35" i="35"/>
  <c r="D24" i="35"/>
  <c r="D25" i="35"/>
  <c r="D26" i="35"/>
  <c r="D27" i="35"/>
  <c r="D28" i="35"/>
  <c r="D29" i="35"/>
  <c r="D30" i="35"/>
  <c r="D31" i="35"/>
  <c r="D32" i="35"/>
  <c r="D33" i="35"/>
  <c r="D34" i="35"/>
  <c r="D35" i="35"/>
  <c r="C24" i="35"/>
  <c r="C25" i="35"/>
  <c r="C26" i="35"/>
  <c r="C27" i="35"/>
  <c r="C28" i="35"/>
  <c r="C29" i="35"/>
  <c r="C30" i="35"/>
  <c r="C31" i="35"/>
  <c r="C32" i="35"/>
  <c r="C33" i="35"/>
  <c r="C34" i="35"/>
  <c r="C35" i="35"/>
  <c r="A22" i="35"/>
  <c r="K4" i="35"/>
  <c r="K5" i="35"/>
  <c r="K6" i="35"/>
  <c r="K7" i="35"/>
  <c r="K8" i="35"/>
  <c r="K9" i="35"/>
  <c r="K10" i="35"/>
  <c r="K11" i="35"/>
  <c r="K12" i="35"/>
  <c r="K13" i="35"/>
  <c r="K14" i="35"/>
  <c r="K15" i="35"/>
  <c r="G4" i="35"/>
  <c r="G5" i="35"/>
  <c r="G6" i="35"/>
  <c r="G7" i="35"/>
  <c r="G8" i="35"/>
  <c r="G9" i="35"/>
  <c r="G10" i="35"/>
  <c r="G11" i="35"/>
  <c r="G12" i="35"/>
  <c r="G13" i="35"/>
  <c r="G14" i="35"/>
  <c r="G15" i="35"/>
  <c r="F4" i="35"/>
  <c r="F5" i="35"/>
  <c r="F6" i="35"/>
  <c r="F7" i="35"/>
  <c r="F8" i="35"/>
  <c r="F9" i="35"/>
  <c r="F10" i="35"/>
  <c r="F11" i="35"/>
  <c r="F12" i="35"/>
  <c r="F13" i="35"/>
  <c r="F14" i="35"/>
  <c r="F15" i="35"/>
  <c r="E4" i="35"/>
  <c r="E5" i="35"/>
  <c r="E6" i="35"/>
  <c r="E7" i="35"/>
  <c r="E8" i="35"/>
  <c r="E9" i="35"/>
  <c r="E10" i="35"/>
  <c r="E11" i="35"/>
  <c r="E12" i="35"/>
  <c r="E13" i="35"/>
  <c r="E14" i="35"/>
  <c r="E15" i="35"/>
  <c r="D4" i="35"/>
  <c r="D5" i="35"/>
  <c r="D6" i="35"/>
  <c r="D7" i="35"/>
  <c r="D8" i="35"/>
  <c r="D9" i="35"/>
  <c r="D10" i="35"/>
  <c r="D11" i="35"/>
  <c r="D12" i="35"/>
  <c r="D13" i="35"/>
  <c r="D14" i="35"/>
  <c r="D15" i="35"/>
  <c r="C4" i="35"/>
  <c r="C5" i="35"/>
  <c r="C6" i="35"/>
  <c r="C7" i="35"/>
  <c r="C8" i="35"/>
  <c r="C9" i="35"/>
  <c r="C10" i="35"/>
  <c r="C11" i="35"/>
  <c r="C12" i="35"/>
  <c r="C13" i="35"/>
  <c r="C14" i="35"/>
  <c r="C15" i="35"/>
  <c r="A20" i="35"/>
  <c r="A2" i="35"/>
  <c r="B4" i="35"/>
  <c r="B5" i="35"/>
  <c r="B6" i="35"/>
  <c r="B7" i="35"/>
  <c r="B8" i="35"/>
  <c r="B9" i="35"/>
  <c r="B10" i="35"/>
  <c r="B11" i="35"/>
  <c r="B12" i="35"/>
  <c r="B13" i="35"/>
  <c r="B14" i="35"/>
  <c r="B15" i="35"/>
  <c r="K5" i="19"/>
  <c r="E19" i="20"/>
  <c r="AF39" i="28"/>
  <c r="K8" i="19"/>
  <c r="K11" i="23"/>
  <c r="K15" i="23"/>
  <c r="K4" i="23"/>
  <c r="L14" i="21"/>
  <c r="K9" i="19"/>
  <c r="K13" i="19"/>
  <c r="K12" i="19"/>
  <c r="F20" i="18"/>
  <c r="F20" i="23"/>
  <c r="T22" i="31"/>
  <c r="I22" i="36"/>
  <c r="AF39" i="31"/>
  <c r="G19" i="23"/>
  <c r="E20" i="22"/>
  <c r="F20" i="22"/>
  <c r="F19" i="20"/>
  <c r="E19" i="18"/>
  <c r="A6" i="28"/>
  <c r="L2" i="20"/>
  <c r="A6" i="29"/>
  <c r="N3" i="21"/>
  <c r="A23" i="30"/>
  <c r="M23" i="22"/>
  <c r="Y22" i="36"/>
  <c r="F20" i="19"/>
  <c r="Y39" i="27"/>
  <c r="E20" i="23"/>
  <c r="D39" i="31"/>
  <c r="A23" i="32"/>
  <c r="M25" i="24"/>
  <c r="C20" i="24"/>
  <c r="G20" i="24"/>
  <c r="I39" i="27"/>
  <c r="AO39" i="27"/>
  <c r="A23" i="29"/>
  <c r="N23" i="21"/>
  <c r="A23" i="31"/>
  <c r="M23" i="23"/>
  <c r="C20" i="20"/>
  <c r="G20" i="20"/>
  <c r="E20" i="24"/>
  <c r="K6" i="24"/>
  <c r="D20" i="24"/>
  <c r="I20" i="24"/>
  <c r="F20" i="24"/>
  <c r="K7" i="23"/>
  <c r="K10" i="23"/>
  <c r="C20" i="23"/>
  <c r="G20" i="23"/>
  <c r="I20" i="23"/>
  <c r="F20" i="21"/>
  <c r="C20" i="21"/>
  <c r="G20" i="21"/>
  <c r="D20" i="21"/>
  <c r="J20" i="21"/>
  <c r="E20" i="21"/>
  <c r="D20" i="20"/>
  <c r="H20" i="20"/>
  <c r="E20" i="20"/>
  <c r="F20" i="20"/>
  <c r="C20" i="19"/>
  <c r="G20" i="19"/>
  <c r="D20" i="19"/>
  <c r="I20" i="19"/>
  <c r="E20" i="19"/>
  <c r="C20" i="18"/>
  <c r="D20" i="18"/>
  <c r="E20" i="18"/>
  <c r="AF22" i="31"/>
  <c r="H39" i="31"/>
  <c r="P39" i="31"/>
  <c r="T39" i="31"/>
  <c r="AG39" i="30"/>
  <c r="T39" i="28"/>
  <c r="AJ39" i="28"/>
  <c r="D19" i="20"/>
  <c r="G19" i="19"/>
  <c r="D20" i="23"/>
  <c r="D19" i="23"/>
  <c r="C20" i="22"/>
  <c r="G20" i="22"/>
  <c r="D20" i="22"/>
  <c r="I20" i="22"/>
  <c r="K5" i="22"/>
  <c r="U39" i="30"/>
  <c r="G19" i="22"/>
  <c r="K10" i="24"/>
  <c r="K9" i="22"/>
  <c r="K13" i="22"/>
  <c r="I39" i="29"/>
  <c r="Q39" i="29"/>
  <c r="Y39" i="29"/>
  <c r="AK39" i="29"/>
  <c r="Q39" i="28"/>
  <c r="H22" i="28"/>
  <c r="T22" i="28"/>
  <c r="AB22" i="28"/>
  <c r="AF22" i="28"/>
  <c r="Q22" i="26"/>
  <c r="Y22" i="26"/>
  <c r="I39" i="26"/>
  <c r="U39" i="26"/>
  <c r="AG39" i="26"/>
  <c r="AO39" i="26"/>
  <c r="J14" i="20"/>
  <c r="I36" i="20"/>
  <c r="I39" i="28"/>
  <c r="AC39" i="28"/>
  <c r="AO39" i="28"/>
  <c r="K14" i="23"/>
  <c r="AC22" i="31"/>
  <c r="J36" i="19"/>
  <c r="AK22" i="26"/>
  <c r="AK39" i="27"/>
  <c r="J10" i="20"/>
  <c r="H19" i="20"/>
  <c r="P39" i="28"/>
  <c r="Y39" i="28"/>
  <c r="AK39" i="28"/>
  <c r="AO22" i="29"/>
  <c r="D19" i="22"/>
  <c r="D39" i="30"/>
  <c r="K6" i="23"/>
  <c r="H22" i="31"/>
  <c r="AB39" i="32"/>
  <c r="H22" i="36"/>
  <c r="AF22" i="36"/>
  <c r="P22" i="26"/>
  <c r="AF22" i="26"/>
  <c r="AC39" i="27"/>
  <c r="J6" i="20"/>
  <c r="H39" i="28"/>
  <c r="U39" i="28"/>
  <c r="AB39" i="28"/>
  <c r="AG39" i="28"/>
  <c r="AN39" i="28"/>
  <c r="I22" i="29"/>
  <c r="K14" i="22"/>
  <c r="AB39" i="30"/>
  <c r="AB22" i="31"/>
  <c r="Y39" i="31"/>
  <c r="AG39" i="31"/>
  <c r="Y22" i="32"/>
  <c r="AG22" i="31"/>
  <c r="E22" i="31"/>
  <c r="AN22" i="27"/>
  <c r="AO22" i="26"/>
  <c r="AB22" i="26"/>
  <c r="H22" i="26"/>
  <c r="E22" i="26"/>
  <c r="K4" i="24"/>
  <c r="K15" i="24"/>
  <c r="K7" i="24"/>
  <c r="K14" i="24"/>
  <c r="K9" i="23"/>
  <c r="K8" i="23"/>
  <c r="C19" i="22"/>
  <c r="K4" i="22"/>
  <c r="L14" i="35"/>
  <c r="M14" i="35"/>
  <c r="L6" i="21"/>
  <c r="L13" i="21"/>
  <c r="L13" i="35"/>
  <c r="M13" i="35"/>
  <c r="L9" i="35"/>
  <c r="L5" i="21"/>
  <c r="L5" i="35"/>
  <c r="L9" i="21"/>
  <c r="L8" i="21"/>
  <c r="L15" i="21"/>
  <c r="F19" i="21"/>
  <c r="J7" i="20"/>
  <c r="J11" i="20"/>
  <c r="J15" i="20"/>
  <c r="I16" i="20"/>
  <c r="K15" i="19"/>
  <c r="K6" i="19"/>
  <c r="K10" i="19"/>
  <c r="K14" i="19"/>
  <c r="J16" i="19"/>
  <c r="K7" i="19"/>
  <c r="K11" i="19"/>
  <c r="L6" i="35"/>
  <c r="D19" i="19"/>
  <c r="C19" i="19"/>
  <c r="T22" i="30"/>
  <c r="T22" i="26"/>
  <c r="T22" i="36"/>
  <c r="P22" i="36"/>
  <c r="Q22" i="36"/>
  <c r="AB22" i="36"/>
  <c r="X22" i="36"/>
  <c r="AG22" i="36"/>
  <c r="U22" i="32"/>
  <c r="AB22" i="32"/>
  <c r="X22" i="32"/>
  <c r="T22" i="32"/>
  <c r="AC22" i="32"/>
  <c r="X39" i="32"/>
  <c r="T39" i="32"/>
  <c r="AC39" i="32"/>
  <c r="Y39" i="32"/>
  <c r="U22" i="31"/>
  <c r="D22" i="31"/>
  <c r="I22" i="31"/>
  <c r="U39" i="31"/>
  <c r="E39" i="31"/>
  <c r="Q22" i="30"/>
  <c r="AG22" i="30"/>
  <c r="Q39" i="30"/>
  <c r="Y39" i="30"/>
  <c r="E39" i="30"/>
  <c r="AC39" i="30"/>
  <c r="AC22" i="29"/>
  <c r="H22" i="29"/>
  <c r="P22" i="29"/>
  <c r="X22" i="29"/>
  <c r="AJ22" i="29"/>
  <c r="E39" i="29"/>
  <c r="U39" i="29"/>
  <c r="AC39" i="29"/>
  <c r="AG39" i="29"/>
  <c r="AO39" i="29"/>
  <c r="AK22" i="28"/>
  <c r="P22" i="27"/>
  <c r="AJ22" i="27"/>
  <c r="H22" i="27"/>
  <c r="T22" i="27"/>
  <c r="AB22" i="27"/>
  <c r="AG22" i="27"/>
  <c r="X22" i="27"/>
  <c r="Q39" i="27"/>
  <c r="AF39" i="27"/>
  <c r="T39" i="27"/>
  <c r="U22" i="26"/>
  <c r="AG22" i="26"/>
  <c r="AN22" i="26"/>
  <c r="D22" i="26"/>
  <c r="X22" i="26"/>
  <c r="AJ22" i="26"/>
  <c r="I22" i="26"/>
  <c r="AC22" i="26"/>
  <c r="E39" i="26"/>
  <c r="Q39" i="26"/>
  <c r="Y39" i="26"/>
  <c r="AK39" i="26"/>
  <c r="A19" i="35"/>
  <c r="K36" i="19"/>
  <c r="E19" i="19"/>
  <c r="F19" i="19"/>
  <c r="K24" i="19"/>
  <c r="L33" i="35"/>
  <c r="M33" i="35"/>
  <c r="L26" i="35"/>
  <c r="M26" i="35"/>
  <c r="L35" i="35"/>
  <c r="M35" i="35"/>
  <c r="K24" i="18"/>
  <c r="X39" i="31"/>
  <c r="K36" i="23"/>
  <c r="K27" i="23"/>
  <c r="X39" i="30"/>
  <c r="K36" i="22"/>
  <c r="F19" i="22"/>
  <c r="AC39" i="26"/>
  <c r="K28" i="18"/>
  <c r="L31" i="35"/>
  <c r="M31" i="35"/>
  <c r="L27" i="35"/>
  <c r="M27" i="35"/>
  <c r="D19" i="18"/>
  <c r="K32" i="18"/>
  <c r="J36" i="18"/>
  <c r="K25" i="18"/>
  <c r="K29" i="18"/>
  <c r="L30" i="35"/>
  <c r="M30" i="35"/>
  <c r="L25" i="35"/>
  <c r="M25" i="35"/>
  <c r="G19" i="18"/>
  <c r="K34" i="18"/>
  <c r="M34" i="35"/>
  <c r="I19" i="18"/>
  <c r="K11" i="24"/>
  <c r="E19" i="24"/>
  <c r="K8" i="24"/>
  <c r="K13" i="24"/>
  <c r="K9" i="24"/>
  <c r="K12" i="24"/>
  <c r="J16" i="22"/>
  <c r="J20" i="22"/>
  <c r="AB22" i="30"/>
  <c r="T39" i="30"/>
  <c r="AF39" i="30"/>
  <c r="P39" i="30"/>
  <c r="K12" i="22"/>
  <c r="I19" i="22"/>
  <c r="G19" i="21"/>
  <c r="K16" i="21"/>
  <c r="L10" i="35"/>
  <c r="M10" i="35"/>
  <c r="L10" i="21"/>
  <c r="K16" i="18"/>
  <c r="M29" i="35"/>
  <c r="M32" i="35"/>
  <c r="M28" i="35"/>
  <c r="M24" i="35"/>
  <c r="C19" i="18"/>
  <c r="L4" i="35"/>
  <c r="A19" i="19"/>
  <c r="A20" i="19"/>
  <c r="A19" i="20"/>
  <c r="A20" i="22"/>
  <c r="K36" i="35"/>
  <c r="C36" i="35"/>
  <c r="D36" i="35"/>
  <c r="A19" i="21"/>
  <c r="E36" i="35"/>
  <c r="F36" i="35"/>
  <c r="G36" i="35"/>
  <c r="C16" i="35"/>
  <c r="D16" i="35"/>
  <c r="E16" i="35"/>
  <c r="F16" i="35"/>
  <c r="G16" i="35"/>
  <c r="K16" i="35"/>
  <c r="B36" i="35"/>
  <c r="A6" i="30"/>
  <c r="B16" i="35"/>
  <c r="L8" i="35"/>
  <c r="M8" i="35"/>
  <c r="L7" i="21"/>
  <c r="J19" i="21"/>
  <c r="H39" i="29"/>
  <c r="T39" i="29"/>
  <c r="AB39" i="29"/>
  <c r="AF39" i="29"/>
  <c r="AN39" i="29"/>
  <c r="P22" i="32"/>
  <c r="Q22" i="32"/>
  <c r="F19" i="18"/>
  <c r="I22" i="27"/>
  <c r="Q22" i="27"/>
  <c r="U22" i="27"/>
  <c r="Y22" i="27"/>
  <c r="AC22" i="27"/>
  <c r="AK22" i="27"/>
  <c r="X39" i="27"/>
  <c r="AJ39" i="27"/>
  <c r="C19" i="20"/>
  <c r="G19" i="20"/>
  <c r="I22" i="28"/>
  <c r="Q22" i="28"/>
  <c r="U22" i="28"/>
  <c r="Y22" i="28"/>
  <c r="AC22" i="28"/>
  <c r="AG22" i="28"/>
  <c r="L4" i="21"/>
  <c r="D19" i="21"/>
  <c r="D22" i="29"/>
  <c r="E22" i="29"/>
  <c r="Y22" i="29"/>
  <c r="A19" i="22"/>
  <c r="K15" i="22"/>
  <c r="K11" i="22"/>
  <c r="K7" i="22"/>
  <c r="E22" i="30"/>
  <c r="D22" i="30"/>
  <c r="C19" i="23"/>
  <c r="F19" i="23"/>
  <c r="AC39" i="31"/>
  <c r="AB39" i="31"/>
  <c r="C19" i="24"/>
  <c r="D39" i="26"/>
  <c r="P39" i="26"/>
  <c r="X39" i="26"/>
  <c r="AJ39" i="26"/>
  <c r="E19" i="21"/>
  <c r="D39" i="29"/>
  <c r="X39" i="29"/>
  <c r="AJ39" i="29"/>
  <c r="L12" i="21"/>
  <c r="A6" i="31"/>
  <c r="A19" i="23"/>
  <c r="A20" i="23"/>
  <c r="X22" i="31"/>
  <c r="Y22" i="31"/>
  <c r="AF22" i="32"/>
  <c r="AG22" i="32"/>
  <c r="P39" i="32"/>
  <c r="Q39" i="32"/>
  <c r="L12" i="35"/>
  <c r="H39" i="26"/>
  <c r="T39" i="26"/>
  <c r="AB39" i="26"/>
  <c r="AF39" i="26"/>
  <c r="AN39" i="26"/>
  <c r="P39" i="27"/>
  <c r="AF22" i="29"/>
  <c r="AG22" i="29"/>
  <c r="P39" i="29"/>
  <c r="E19" i="22"/>
  <c r="P22" i="31"/>
  <c r="Q22" i="31"/>
  <c r="L15" i="35"/>
  <c r="M15" i="35"/>
  <c r="L11" i="35"/>
  <c r="M11" i="35"/>
  <c r="L7" i="35"/>
  <c r="M7" i="35"/>
  <c r="AF22" i="27"/>
  <c r="AO22" i="27"/>
  <c r="H39" i="27"/>
  <c r="U39" i="27"/>
  <c r="AB39" i="27"/>
  <c r="AG39" i="27"/>
  <c r="AN39" i="27"/>
  <c r="AJ22" i="28"/>
  <c r="AO22" i="28"/>
  <c r="AN22" i="28"/>
  <c r="C19" i="21"/>
  <c r="Q22" i="29"/>
  <c r="T22" i="29"/>
  <c r="U22" i="29"/>
  <c r="AK22" i="29"/>
  <c r="K8" i="22"/>
  <c r="P22" i="30"/>
  <c r="AC22" i="30"/>
  <c r="E19" i="23"/>
  <c r="I19" i="23"/>
  <c r="G19" i="24"/>
  <c r="A6" i="32"/>
  <c r="A19" i="24"/>
  <c r="A20" i="24"/>
  <c r="AB22" i="29"/>
  <c r="AN22" i="29"/>
  <c r="K10" i="22"/>
  <c r="AF22" i="30"/>
  <c r="H22" i="32"/>
  <c r="I22" i="32"/>
  <c r="AF39" i="32"/>
  <c r="AG39" i="32"/>
  <c r="Q39" i="31"/>
  <c r="F19" i="24"/>
  <c r="H39" i="32"/>
  <c r="I39" i="32"/>
  <c r="J16" i="23"/>
  <c r="J20" i="23"/>
  <c r="K36" i="21"/>
  <c r="L24" i="21"/>
  <c r="J36" i="24"/>
  <c r="K24" i="24"/>
  <c r="U22" i="30"/>
  <c r="I39" i="31"/>
  <c r="J16" i="24"/>
  <c r="D19" i="24"/>
  <c r="I19" i="24"/>
  <c r="AK22" i="36"/>
  <c r="U22" i="36"/>
  <c r="G19" i="35"/>
  <c r="J16" i="20"/>
  <c r="J20" i="19"/>
  <c r="I19" i="20"/>
  <c r="C20" i="35"/>
  <c r="G20" i="35"/>
  <c r="F20" i="35"/>
  <c r="K20" i="35"/>
  <c r="M9" i="35"/>
  <c r="E20" i="35"/>
  <c r="D20" i="35"/>
  <c r="J19" i="19"/>
  <c r="K36" i="24"/>
  <c r="J20" i="24"/>
  <c r="L36" i="21"/>
  <c r="K20" i="21"/>
  <c r="J36" i="20"/>
  <c r="I20" i="20"/>
  <c r="K36" i="18"/>
  <c r="J20" i="18"/>
  <c r="K16" i="22"/>
  <c r="L16" i="21"/>
  <c r="M5" i="35"/>
  <c r="M6" i="35"/>
  <c r="K16" i="19"/>
  <c r="M4" i="35"/>
  <c r="J19" i="18"/>
  <c r="L36" i="35"/>
  <c r="J19" i="22"/>
  <c r="K19" i="35"/>
  <c r="D19" i="35"/>
  <c r="F19" i="35"/>
  <c r="C19" i="35"/>
  <c r="E19" i="35"/>
  <c r="K16" i="23"/>
  <c r="J19" i="23"/>
  <c r="K19" i="21"/>
  <c r="K16" i="24"/>
  <c r="J19" i="24"/>
  <c r="M12" i="35"/>
  <c r="L16" i="35"/>
  <c r="L20" i="35"/>
  <c r="M36" i="35"/>
  <c r="L19" i="35"/>
  <c r="M16" i="35"/>
</calcChain>
</file>

<file path=xl/sharedStrings.xml><?xml version="1.0" encoding="utf-8"?>
<sst xmlns="http://schemas.openxmlformats.org/spreadsheetml/2006/main" count="1626" uniqueCount="115">
  <si>
    <t>Enero</t>
  </si>
  <si>
    <t>Febrero</t>
  </si>
  <si>
    <t>Marzo</t>
  </si>
  <si>
    <t>Abril</t>
  </si>
  <si>
    <t>Mayo</t>
  </si>
  <si>
    <t>Junio</t>
  </si>
  <si>
    <t>Julio</t>
  </si>
  <si>
    <t>Agosto</t>
  </si>
  <si>
    <t>Septiembre</t>
  </si>
  <si>
    <t>Octubre</t>
  </si>
  <si>
    <t>Noviembre</t>
  </si>
  <si>
    <t>Diciembre</t>
  </si>
  <si>
    <t>Var</t>
  </si>
  <si>
    <t>% Var</t>
  </si>
  <si>
    <t>ICC</t>
  </si>
  <si>
    <t>Total</t>
  </si>
  <si>
    <t>Temp_Max</t>
  </si>
  <si>
    <t>Delivery_Rate_T</t>
  </si>
  <si>
    <t>Salarios</t>
  </si>
  <si>
    <t>Desempleo</t>
  </si>
  <si>
    <t>PBI</t>
  </si>
  <si>
    <t>Calendar</t>
  </si>
  <si>
    <t>Economy</t>
  </si>
  <si>
    <t>Affordability</t>
  </si>
  <si>
    <t>Competitiveness</t>
  </si>
  <si>
    <t>Weather</t>
  </si>
  <si>
    <t>Ventas 2020</t>
  </si>
  <si>
    <t>Total Anual</t>
  </si>
  <si>
    <t>Delivery_Rate_T:
Relación Cantidad de días con delivery vs Cantidad de días total
Ej: 0.81 significa que el 81% de los días fueron con delivery.</t>
  </si>
  <si>
    <t>Variable del modelo</t>
  </si>
  <si>
    <t>Variable no incluida en el modelo</t>
  </si>
  <si>
    <t>Temp_Max: 
Temperatura Máxima promedio en °C</t>
  </si>
  <si>
    <t>Temp_Max: 
Temperatura Máxima en °C</t>
  </si>
  <si>
    <t>ICC: 
Indice de Confianza del Consumidor
Fuente: UTDT</t>
  </si>
  <si>
    <t>Mes</t>
  </si>
  <si>
    <t>IPC Variación (% vs PM)</t>
  </si>
  <si>
    <t>IPC Variación (% vs PM): 
Indice de Precios al Consumidor (Inflación)
Variación % vs PM
Fuente: INE</t>
  </si>
  <si>
    <t>IPC Variación (% vs PM): 
Indice de Precios al Consumidor (Inflación)
Variación % vs PM
Fuente: INDEC</t>
  </si>
  <si>
    <t>IPC Variación (% vs PM): 
Indice de Precios al Consumidor (Inflación)
Variación % vs PM
Fuente: BCRP</t>
  </si>
  <si>
    <t xml:space="preserve">Temp_Max: 
Temperatura Máxima en °C
</t>
  </si>
  <si>
    <t>Composición Affordability</t>
  </si>
  <si>
    <t>Referencia Economy</t>
  </si>
  <si>
    <t>Variación Anual vs PY</t>
  </si>
  <si>
    <t>CHILE</t>
  </si>
  <si>
    <t>BOLIVIA</t>
  </si>
  <si>
    <t>ANDINA AR</t>
  </si>
  <si>
    <t>ARCA</t>
  </si>
  <si>
    <t>FEMSA</t>
  </si>
  <si>
    <t>R. LEE</t>
  </si>
  <si>
    <t>PERÚ</t>
  </si>
  <si>
    <t>PARAGUAY</t>
  </si>
  <si>
    <t>URUGUAY</t>
  </si>
  <si>
    <t>ARGENTINA</t>
  </si>
  <si>
    <t>Var 20 vs. 19</t>
  </si>
  <si>
    <t>PBI:
en millones de Guaraníes Constantes
Fuente: BCP</t>
  </si>
  <si>
    <t>IPC Variación (% vs PM): 
Indice de Precios al Consumidor (Inflación)
Variación % vs PM
Fuente: BCP</t>
  </si>
  <si>
    <t>Primer Mes Pronosticado</t>
  </si>
  <si>
    <t>Días de Entrega</t>
  </si>
  <si>
    <t>w43</t>
  </si>
  <si>
    <t>w47</t>
  </si>
  <si>
    <t>Brand</t>
  </si>
  <si>
    <t>Leisure</t>
  </si>
  <si>
    <t>Trend - Inertia - Others</t>
  </si>
  <si>
    <t>Share Competitors</t>
  </si>
  <si>
    <t>Unhealthy</t>
  </si>
  <si>
    <t>Ventas 2021</t>
  </si>
  <si>
    <t>Var 21 vs 20</t>
  </si>
  <si>
    <t>Ecology</t>
  </si>
  <si>
    <t>Consumption Days</t>
  </si>
  <si>
    <t>Consumption Days:
Cantidad de días</t>
  </si>
  <si>
    <t>Salarios: 
Salario Priv. Regular INDEC</t>
  </si>
  <si>
    <t>Hits "coca"</t>
  </si>
  <si>
    <t>Hits "coca":
Hits de la palabra "coca" según Google Trends para la región correspondiente.</t>
  </si>
  <si>
    <t>GAP</t>
  </si>
  <si>
    <t>Temp_Max: 
Temperatura Máxima en °C.</t>
  </si>
  <si>
    <t xml:space="preserve">PBI: 
PBI en millones de pesos del año 2004
Fuente: INDEC
</t>
  </si>
  <si>
    <t>GAP: 
Relación Precio KO vs Competencia
(Price_KO/Price Competencia. Por ej: 1.41 significa que KO es 41% más caro que la competencia)</t>
  </si>
  <si>
    <t>GAP: 
Relación Precio KO vs Competencia
(Price_KO/Price Competencia. Por ej: 1.41 significa que KO es 41% más caro que la competencia)
(week 8 incluye lag de 8 semanas)</t>
  </si>
  <si>
    <t>Descuento Bottler:
% de descuento realizado por el Bottler a puntos de venta.</t>
  </si>
  <si>
    <t>Descuento Bottler (%)</t>
  </si>
  <si>
    <t>Delivery Rate:
Relación Cantidad de días con delivery vs Cantidad de días total
Ej: 0.81 significa que el 81% de los días fueron con delivery.</t>
  </si>
  <si>
    <t>Delivery Rate</t>
  </si>
  <si>
    <t>Inversión</t>
  </si>
  <si>
    <t>Inversión:
En millones de bolivianos de 1990. 
Fuente: INE</t>
  </si>
  <si>
    <t>PRECIO</t>
  </si>
  <si>
    <t>PRECIO: 
Precio unitario en Bolivianos</t>
  </si>
  <si>
    <t>GAP:
PRECIO / Precio competencia</t>
  </si>
  <si>
    <t>Hits "futbol"</t>
  </si>
  <si>
    <t>Hits "futbol":
Hits de la palabra "futbol" según Google Trends para la región correspondiente.</t>
  </si>
  <si>
    <t>Consumption days</t>
  </si>
  <si>
    <t>Consumption days:
Cantidad de días total</t>
  </si>
  <si>
    <t>PBI: 
en miles de millones de $.
Fuente: Banco Central de Chile.</t>
  </si>
  <si>
    <t>PRECIO:
Precio Total KO</t>
  </si>
  <si>
    <t>Demanda Interna</t>
  </si>
  <si>
    <t>Demanda Interna: 
en millones de Soles de 2007
Fuente: BCRP</t>
  </si>
  <si>
    <t>Hits "azucar"</t>
  </si>
  <si>
    <t>Hits "azucar":
Hits de la palabra "azucar" según Google Trends para la región correspondiente.</t>
  </si>
  <si>
    <t>PRECIO: 
Precio Total de KO</t>
  </si>
  <si>
    <t>Desempleo:
% de desempleo trimestral.
Fuente: INE</t>
  </si>
  <si>
    <t>Hits "plastico":
Hits de la palabra "plastico" según Google Trends para la región correspondiente.</t>
  </si>
  <si>
    <t>Hits "plastico"</t>
  </si>
  <si>
    <t>Precio PEPSICO</t>
  </si>
  <si>
    <t>Precio PEPSICO
Precio mensual del fabricante competidor PEPSICO</t>
  </si>
  <si>
    <t>Precio.realLagSem4</t>
  </si>
  <si>
    <t>Precio.realLagSem4
Precio / Salarios con lag de 4 semanas.</t>
  </si>
  <si>
    <t>Inversión:
En miles de pesos.
Fuente: BCU</t>
  </si>
  <si>
    <t>Health</t>
  </si>
  <si>
    <t>GAPLagMes2</t>
  </si>
  <si>
    <t>GAPLagMes2: 
Relación PRECIO vs Competencia
(PRECIO/Price Competencia. Por ej: 1.41 significa que PRECIO es 41% más caro que la competencia).
Incluye lag de 2 meses.</t>
  </si>
  <si>
    <t>GAPLagMes1</t>
  </si>
  <si>
    <t>GAPLagMes1: 
Relación Precio KO vs Competencia
(Price_KO/Price Competencia. Por ej: 1.41 significa que KO es 41% más caro que la competencia)
Incluye lag de 1 mes</t>
  </si>
  <si>
    <t>Promotions</t>
  </si>
  <si>
    <t>PRECIO: 
Precio Total de NARDT</t>
  </si>
  <si>
    <t>Precio.real</t>
  </si>
  <si>
    <t>Precio.real 
PRECIO / Indice_Salario.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</si>
</sst>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 #,##0.00_ ;_ * \-#,##0.00_ ;_ * &quot;-&quot;??_ ;_ @_ "/>
    <numFmt numFmtId="165" formatCode="0.0"/>
    <numFmt numFmtId="166" formatCode="0.0%"/>
    <numFmt numFmtId="167" formatCode="0.000"/>
    <numFmt numFmtId="168" formatCode="_ * #,##0_ ;_ * \-#,##0_ ;_ * &quot;-&quot;??_ ;_ @_ "/>
    <numFmt numFmtId="169" formatCode="_(* #,##0_);_(* \(#,##0\);_(* &quot;-&quot;??_);_(@_)"/>
    <numFmt numFmtId="170" formatCode="_ * #,##0.0_ ;_ * \-#,##0.0_ ;_ * &quot;-&quot;??_ ;_ @_ "/>
    <numFmt numFmtId="171" formatCode="0.0000%"/>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u/>
      <sz val="11"/>
      <color theme="10"/>
      <name val="Calibri"/>
      <family val="2"/>
      <scheme val="minor"/>
    </font>
    <font>
      <u/>
      <sz val="11"/>
      <color theme="0"/>
      <name val="Calibri"/>
      <family val="2"/>
      <scheme val="minor"/>
    </font>
    <font>
      <sz val="11"/>
      <color theme="2" tint="-0.499984740745262"/>
      <name val="Calibri"/>
      <family val="2"/>
      <scheme val="minor"/>
    </font>
    <font>
      <sz val="11"/>
      <color theme="0"/>
      <name val="Calibri"/>
      <family val="2"/>
      <scheme val="minor"/>
    </font>
    <font>
      <sz val="20"/>
      <color theme="1"/>
      <name val="Calibri"/>
      <family val="2"/>
      <scheme val="minor"/>
    </font>
    <font>
      <b/>
      <sz val="11"/>
      <color theme="2" tint="-0.499984740745262"/>
      <name val="Calibri"/>
      <family val="2"/>
      <scheme val="minor"/>
    </font>
    <font>
      <sz val="10"/>
      <color theme="1"/>
      <name val="Calibri"/>
      <family val="2"/>
      <scheme val="minor"/>
    </font>
    <font>
      <b/>
      <u/>
      <sz val="14"/>
      <color theme="1"/>
      <name val="Calibri"/>
      <family val="2"/>
      <scheme val="minor"/>
    </font>
    <font>
      <sz val="10"/>
      <color rgb="FF262626"/>
      <name val="Arial"/>
      <family val="2"/>
    </font>
    <font>
      <sz val="10"/>
      <color rgb="FF263238"/>
      <name val="Arial"/>
      <family val="2"/>
    </font>
  </fonts>
  <fills count="7">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theme="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0" fontId="5" fillId="0" borderId="0" applyNumberFormat="0" applyFill="0" applyBorder="0" applyAlignment="0" applyProtection="0"/>
  </cellStyleXfs>
  <cellXfs count="329">
    <xf numFmtId="0" fontId="0" fillId="0" borderId="0" xfId="0"/>
    <xf numFmtId="0" fontId="0" fillId="0" borderId="11" xfId="0" applyBorder="1"/>
    <xf numFmtId="0" fontId="2" fillId="2" borderId="10" xfId="0" applyFont="1" applyFill="1" applyBorder="1"/>
    <xf numFmtId="0" fontId="0" fillId="0" borderId="0" xfId="0" applyFill="1"/>
    <xf numFmtId="0" fontId="0" fillId="0" borderId="12" xfId="0" applyBorder="1"/>
    <xf numFmtId="0" fontId="2" fillId="2" borderId="17" xfId="0" applyFont="1" applyFill="1" applyBorder="1" applyAlignment="1">
      <alignment horizontal="center" vertical="center" wrapText="1"/>
    </xf>
    <xf numFmtId="0" fontId="0" fillId="0" borderId="17" xfId="0" applyBorder="1"/>
    <xf numFmtId="169" fontId="4" fillId="0" borderId="17" xfId="2" applyNumberFormat="1" applyFont="1" applyBorder="1"/>
    <xf numFmtId="0" fontId="0" fillId="0" borderId="1" xfId="0" applyBorder="1"/>
    <xf numFmtId="169" fontId="4" fillId="0" borderId="1" xfId="2" applyNumberFormat="1" applyFont="1" applyBorder="1"/>
    <xf numFmtId="0" fontId="0" fillId="0" borderId="0" xfId="0" applyAlignment="1">
      <alignment wrapText="1"/>
    </xf>
    <xf numFmtId="169" fontId="4" fillId="0" borderId="1" xfId="2" applyNumberFormat="1" applyFont="1" applyFill="1" applyBorder="1"/>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2" fontId="0" fillId="3" borderId="5" xfId="0" applyNumberFormat="1" applyFill="1" applyBorder="1" applyAlignment="1">
      <alignment horizontal="center"/>
    </xf>
    <xf numFmtId="2" fontId="0" fillId="3" borderId="1" xfId="0" applyNumberFormat="1" applyFill="1" applyBorder="1" applyAlignment="1">
      <alignment horizontal="center"/>
    </xf>
    <xf numFmtId="9" fontId="0" fillId="3" borderId="6" xfId="1" applyFont="1" applyFill="1" applyBorder="1" applyAlignment="1">
      <alignment horizontal="center"/>
    </xf>
    <xf numFmtId="2" fontId="0" fillId="3" borderId="7" xfId="0" applyNumberFormat="1" applyFill="1" applyBorder="1" applyAlignment="1">
      <alignment horizontal="center"/>
    </xf>
    <xf numFmtId="2" fontId="0" fillId="3" borderId="8" xfId="0" applyNumberFormat="1" applyFill="1" applyBorder="1" applyAlignment="1">
      <alignment horizontal="center"/>
    </xf>
    <xf numFmtId="9" fontId="0" fillId="3" borderId="9" xfId="1" applyFont="1" applyFill="1" applyBorder="1" applyAlignment="1">
      <alignment horizontal="center"/>
    </xf>
    <xf numFmtId="0" fontId="2" fillId="2" borderId="0" xfId="0" applyFont="1" applyFill="1" applyBorder="1" applyAlignment="1">
      <alignment horizontal="left"/>
    </xf>
    <xf numFmtId="0" fontId="2" fillId="0" borderId="16" xfId="0" applyFont="1" applyFill="1" applyBorder="1" applyAlignment="1">
      <alignment horizontal="left"/>
    </xf>
    <xf numFmtId="1" fontId="0" fillId="3" borderId="5" xfId="0" applyNumberFormat="1" applyFill="1" applyBorder="1" applyAlignment="1">
      <alignment horizontal="center"/>
    </xf>
    <xf numFmtId="1" fontId="0" fillId="3" borderId="1" xfId="0" applyNumberFormat="1" applyFill="1" applyBorder="1" applyAlignment="1">
      <alignment horizontal="center"/>
    </xf>
    <xf numFmtId="1" fontId="0" fillId="3" borderId="7" xfId="0" applyNumberFormat="1" applyFill="1" applyBorder="1" applyAlignment="1">
      <alignment horizontal="center"/>
    </xf>
    <xf numFmtId="1" fontId="0" fillId="3" borderId="8" xfId="0" applyNumberFormat="1" applyFill="1" applyBorder="1" applyAlignment="1">
      <alignment horizontal="center"/>
    </xf>
    <xf numFmtId="0" fontId="0" fillId="0" borderId="0" xfId="0" applyBorder="1"/>
    <xf numFmtId="169" fontId="4" fillId="0" borderId="0" xfId="2" applyNumberFormat="1" applyFont="1" applyBorder="1"/>
    <xf numFmtId="0" fontId="2" fillId="0" borderId="0" xfId="0" applyFont="1" applyFill="1" applyBorder="1" applyAlignment="1">
      <alignment horizontal="left"/>
    </xf>
    <xf numFmtId="0" fontId="2" fillId="2" borderId="20" xfId="0" applyFont="1" applyFill="1" applyBorder="1" applyAlignment="1">
      <alignment horizontal="left"/>
    </xf>
    <xf numFmtId="0" fontId="3" fillId="0" borderId="0" xfId="0" applyFont="1" applyAlignment="1"/>
    <xf numFmtId="0" fontId="3" fillId="0" borderId="0" xfId="0" applyFont="1" applyFill="1" applyAlignment="1"/>
    <xf numFmtId="0" fontId="2" fillId="0" borderId="0" xfId="0" applyFont="1" applyFill="1" applyBorder="1" applyAlignment="1"/>
    <xf numFmtId="0" fontId="2" fillId="2" borderId="16" xfId="0" applyFont="1" applyFill="1" applyBorder="1" applyAlignment="1">
      <alignment horizontal="left"/>
    </xf>
    <xf numFmtId="0" fontId="0" fillId="0" borderId="0" xfId="0" applyAlignment="1">
      <alignment vertical="top" wrapText="1"/>
    </xf>
    <xf numFmtId="0" fontId="2" fillId="2" borderId="16" xfId="0" applyFont="1" applyFill="1" applyBorder="1" applyAlignment="1"/>
    <xf numFmtId="0" fontId="2" fillId="0" borderId="16" xfId="0" applyFont="1" applyFill="1" applyBorder="1" applyAlignment="1"/>
    <xf numFmtId="0" fontId="3" fillId="3" borderId="0" xfId="0" applyFont="1" applyFill="1" applyAlignment="1"/>
    <xf numFmtId="0" fontId="2" fillId="2" borderId="0" xfId="0" applyFont="1" applyFill="1" applyBorder="1" applyAlignment="1"/>
    <xf numFmtId="0" fontId="6" fillId="2" borderId="17" xfId="3" applyFont="1" applyFill="1" applyBorder="1" applyAlignment="1">
      <alignment horizontal="center" vertical="center" wrapText="1"/>
    </xf>
    <xf numFmtId="0" fontId="0" fillId="0" borderId="0" xfId="0" applyAlignment="1"/>
    <xf numFmtId="0" fontId="0" fillId="3" borderId="5" xfId="0" applyFill="1" applyBorder="1" applyAlignment="1">
      <alignment horizontal="center"/>
    </xf>
    <xf numFmtId="166" fontId="0" fillId="3" borderId="9" xfId="1" applyNumberFormat="1" applyFont="1" applyFill="1" applyBorder="1" applyAlignment="1">
      <alignment horizontal="center"/>
    </xf>
    <xf numFmtId="0" fontId="7" fillId="0" borderId="2" xfId="0" applyFont="1" applyFill="1" applyBorder="1" applyAlignment="1">
      <alignment horizontal="center"/>
    </xf>
    <xf numFmtId="0" fontId="7" fillId="0" borderId="3" xfId="0" applyFont="1" applyFill="1" applyBorder="1" applyAlignment="1">
      <alignment horizontal="center"/>
    </xf>
    <xf numFmtId="0" fontId="7" fillId="0" borderId="4" xfId="0" applyFont="1" applyFill="1" applyBorder="1" applyAlignment="1">
      <alignment horizontal="center"/>
    </xf>
    <xf numFmtId="9" fontId="7" fillId="0" borderId="5" xfId="1" applyFont="1" applyFill="1" applyBorder="1" applyAlignment="1">
      <alignment horizontal="center"/>
    </xf>
    <xf numFmtId="9" fontId="7" fillId="0" borderId="1" xfId="1" applyFont="1" applyFill="1" applyBorder="1" applyAlignment="1">
      <alignment horizontal="center"/>
    </xf>
    <xf numFmtId="2" fontId="7" fillId="0" borderId="1" xfId="0" applyNumberFormat="1" applyFont="1" applyFill="1" applyBorder="1" applyAlignment="1">
      <alignment horizontal="center"/>
    </xf>
    <xf numFmtId="9" fontId="7" fillId="0" borderId="6" xfId="1" applyFont="1" applyFill="1" applyBorder="1" applyAlignment="1">
      <alignment horizontal="center"/>
    </xf>
    <xf numFmtId="9" fontId="7" fillId="0" borderId="7" xfId="1" applyFont="1" applyFill="1" applyBorder="1" applyAlignment="1">
      <alignment horizontal="center"/>
    </xf>
    <xf numFmtId="9" fontId="7" fillId="0" borderId="8" xfId="1" applyFont="1" applyFill="1" applyBorder="1" applyAlignment="1">
      <alignment horizontal="center"/>
    </xf>
    <xf numFmtId="2" fontId="7" fillId="0" borderId="8" xfId="0" applyNumberFormat="1" applyFont="1" applyFill="1" applyBorder="1" applyAlignment="1">
      <alignment horizontal="center"/>
    </xf>
    <xf numFmtId="9" fontId="7" fillId="0" borderId="9" xfId="1" applyFont="1" applyFill="1" applyBorder="1" applyAlignment="1">
      <alignment horizontal="center"/>
    </xf>
    <xf numFmtId="2" fontId="7" fillId="0" borderId="5" xfId="0" applyNumberFormat="1" applyFont="1" applyFill="1" applyBorder="1" applyAlignment="1">
      <alignment horizontal="center"/>
    </xf>
    <xf numFmtId="2" fontId="7" fillId="0" borderId="7" xfId="0" applyNumberFormat="1" applyFont="1" applyFill="1" applyBorder="1" applyAlignment="1">
      <alignment horizontal="center"/>
    </xf>
    <xf numFmtId="166" fontId="7" fillId="0" borderId="7" xfId="1" applyNumberFormat="1" applyFont="1" applyFill="1" applyBorder="1" applyAlignment="1">
      <alignment horizontal="center"/>
    </xf>
    <xf numFmtId="166" fontId="7" fillId="0" borderId="8" xfId="1" applyNumberFormat="1" applyFont="1" applyFill="1" applyBorder="1" applyAlignment="1">
      <alignment horizontal="center"/>
    </xf>
    <xf numFmtId="167" fontId="7" fillId="0" borderId="8" xfId="0" applyNumberFormat="1" applyFont="1" applyFill="1" applyBorder="1" applyAlignment="1">
      <alignment horizontal="center"/>
    </xf>
    <xf numFmtId="166" fontId="0" fillId="3" borderId="6" xfId="1" applyNumberFormat="1" applyFont="1" applyFill="1" applyBorder="1" applyAlignment="1">
      <alignment horizontal="center"/>
    </xf>
    <xf numFmtId="168" fontId="0" fillId="3" borderId="5" xfId="2" applyNumberFormat="1" applyFont="1" applyFill="1" applyBorder="1" applyAlignment="1">
      <alignment horizontal="center"/>
    </xf>
    <xf numFmtId="168" fontId="0" fillId="3" borderId="1" xfId="2" applyNumberFormat="1" applyFont="1" applyFill="1" applyBorder="1" applyAlignment="1">
      <alignment horizontal="center"/>
    </xf>
    <xf numFmtId="168" fontId="0" fillId="3" borderId="7" xfId="2" applyNumberFormat="1" applyFont="1" applyFill="1" applyBorder="1" applyAlignment="1">
      <alignment horizontal="center"/>
    </xf>
    <xf numFmtId="168" fontId="0" fillId="3" borderId="8" xfId="2" applyNumberFormat="1" applyFont="1" applyFill="1" applyBorder="1" applyAlignment="1">
      <alignment horizontal="center"/>
    </xf>
    <xf numFmtId="165" fontId="0" fillId="3" borderId="7" xfId="0" applyNumberFormat="1" applyFill="1" applyBorder="1" applyAlignment="1">
      <alignment horizontal="center"/>
    </xf>
    <xf numFmtId="165" fontId="0" fillId="3" borderId="8" xfId="0" applyNumberFormat="1" applyFill="1" applyBorder="1" applyAlignment="1">
      <alignment horizontal="center"/>
    </xf>
    <xf numFmtId="9" fontId="0" fillId="3" borderId="5" xfId="1" applyFont="1" applyFill="1" applyBorder="1" applyAlignment="1">
      <alignment horizontal="center"/>
    </xf>
    <xf numFmtId="9" fontId="0" fillId="3" borderId="1" xfId="1" applyFont="1" applyFill="1" applyBorder="1" applyAlignment="1">
      <alignment horizontal="center"/>
    </xf>
    <xf numFmtId="9" fontId="0" fillId="3" borderId="7" xfId="1" applyFont="1" applyFill="1" applyBorder="1" applyAlignment="1">
      <alignment horizontal="center"/>
    </xf>
    <xf numFmtId="9" fontId="0" fillId="3" borderId="8" xfId="1" applyFont="1" applyFill="1" applyBorder="1" applyAlignment="1">
      <alignment horizontal="center"/>
    </xf>
    <xf numFmtId="10" fontId="7" fillId="0" borderId="5" xfId="1" applyNumberFormat="1" applyFont="1" applyFill="1" applyBorder="1" applyAlignment="1">
      <alignment horizontal="center"/>
    </xf>
    <xf numFmtId="10" fontId="7" fillId="0" borderId="1" xfId="1" applyNumberFormat="1" applyFont="1" applyFill="1" applyBorder="1" applyAlignment="1">
      <alignment horizontal="center"/>
    </xf>
    <xf numFmtId="167" fontId="7" fillId="0" borderId="1" xfId="0" applyNumberFormat="1" applyFont="1" applyFill="1" applyBorder="1" applyAlignment="1">
      <alignment horizontal="center"/>
    </xf>
    <xf numFmtId="10" fontId="7" fillId="0" borderId="7" xfId="1" applyNumberFormat="1" applyFont="1" applyFill="1" applyBorder="1" applyAlignment="1">
      <alignment horizontal="center"/>
    </xf>
    <xf numFmtId="10" fontId="7" fillId="0" borderId="8" xfId="1" applyNumberFormat="1" applyFont="1" applyFill="1" applyBorder="1" applyAlignment="1">
      <alignment horizontal="center"/>
    </xf>
    <xf numFmtId="1" fontId="7" fillId="0" borderId="5" xfId="0" applyNumberFormat="1" applyFont="1" applyFill="1" applyBorder="1" applyAlignment="1">
      <alignment horizontal="center"/>
    </xf>
    <xf numFmtId="1" fontId="7" fillId="0" borderId="1" xfId="0" applyNumberFormat="1" applyFont="1" applyFill="1" applyBorder="1" applyAlignment="1">
      <alignment horizontal="center"/>
    </xf>
    <xf numFmtId="1" fontId="7" fillId="0" borderId="7" xfId="0" applyNumberFormat="1" applyFont="1" applyFill="1" applyBorder="1" applyAlignment="1">
      <alignment horizontal="center"/>
    </xf>
    <xf numFmtId="1" fontId="7" fillId="0" borderId="8" xfId="0" applyNumberFormat="1" applyFont="1" applyFill="1" applyBorder="1" applyAlignment="1">
      <alignment horizontal="center"/>
    </xf>
    <xf numFmtId="9" fontId="0" fillId="4" borderId="6" xfId="1" applyFont="1" applyFill="1" applyBorder="1" applyAlignment="1">
      <alignment horizontal="center"/>
    </xf>
    <xf numFmtId="166" fontId="0" fillId="4" borderId="6" xfId="1" applyNumberFormat="1" applyFont="1" applyFill="1" applyBorder="1" applyAlignment="1">
      <alignment horizontal="center"/>
    </xf>
    <xf numFmtId="0" fontId="0" fillId="4" borderId="0" xfId="0" applyFill="1"/>
    <xf numFmtId="166" fontId="2" fillId="5" borderId="9" xfId="1" applyNumberFormat="1" applyFont="1" applyFill="1" applyBorder="1" applyAlignment="1">
      <alignment horizontal="center"/>
    </xf>
    <xf numFmtId="9" fontId="2" fillId="5" borderId="9" xfId="1" applyFont="1" applyFill="1" applyBorder="1" applyAlignment="1">
      <alignment horizontal="center"/>
    </xf>
    <xf numFmtId="0" fontId="8" fillId="5" borderId="0" xfId="0" applyFont="1" applyFill="1"/>
    <xf numFmtId="0" fontId="2" fillId="2" borderId="1" xfId="0" applyFont="1" applyFill="1" applyBorder="1" applyAlignment="1">
      <alignment horizontal="center" vertical="center" wrapText="1"/>
    </xf>
    <xf numFmtId="168" fontId="0" fillId="0" borderId="1" xfId="2" applyNumberFormat="1" applyFont="1" applyBorder="1"/>
    <xf numFmtId="166" fontId="0" fillId="0" borderId="0" xfId="1" applyNumberFormat="1" applyFont="1"/>
    <xf numFmtId="9" fontId="0" fillId="0" borderId="0" xfId="1" applyFont="1"/>
    <xf numFmtId="168" fontId="0" fillId="0" borderId="0" xfId="2" applyNumberFormat="1" applyFont="1"/>
    <xf numFmtId="169" fontId="0" fillId="0" borderId="0" xfId="0" applyNumberFormat="1"/>
    <xf numFmtId="166" fontId="10" fillId="0" borderId="9" xfId="1" applyNumberFormat="1" applyFont="1" applyFill="1" applyBorder="1" applyAlignment="1">
      <alignment horizontal="center"/>
    </xf>
    <xf numFmtId="0" fontId="11" fillId="0" borderId="0" xfId="0" applyFont="1" applyAlignment="1">
      <alignment horizontal="left"/>
    </xf>
    <xf numFmtId="0" fontId="11" fillId="0" borderId="0" xfId="0" applyFont="1" applyAlignment="1">
      <alignment vertical="center"/>
    </xf>
    <xf numFmtId="0" fontId="11" fillId="0" borderId="0" xfId="0" applyFont="1" applyAlignment="1">
      <alignment vertical="top"/>
    </xf>
    <xf numFmtId="9" fontId="4" fillId="0" borderId="0" xfId="1" applyFont="1" applyFill="1" applyBorder="1"/>
    <xf numFmtId="166" fontId="4" fillId="0" borderId="0" xfId="1" applyNumberFormat="1" applyFont="1" applyFill="1" applyBorder="1"/>
    <xf numFmtId="164" fontId="4" fillId="0" borderId="0" xfId="2" applyFont="1" applyFill="1" applyBorder="1"/>
    <xf numFmtId="0" fontId="11" fillId="0" borderId="0" xfId="0" applyFont="1" applyAlignment="1"/>
    <xf numFmtId="169" fontId="4" fillId="0" borderId="17" xfId="2" applyNumberFormat="1" applyFont="1" applyFill="1" applyBorder="1"/>
    <xf numFmtId="171" fontId="0" fillId="0" borderId="0" xfId="1" applyNumberFormat="1" applyFont="1"/>
    <xf numFmtId="0" fontId="9" fillId="0" borderId="0" xfId="0" applyFont="1" applyAlignment="1">
      <alignment horizontal="center"/>
    </xf>
    <xf numFmtId="0" fontId="2" fillId="2" borderId="0" xfId="0" applyFont="1" applyFill="1" applyAlignment="1">
      <alignment horizontal="center"/>
    </xf>
    <xf numFmtId="0" fontId="0" fillId="0" borderId="18" xfId="0" applyBorder="1" applyAlignment="1">
      <alignment horizontal="left"/>
    </xf>
    <xf numFmtId="164" fontId="0" fillId="0" borderId="0" xfId="2" applyFont="1" applyBorder="1"/>
    <xf numFmtId="43" fontId="0" fillId="0" borderId="0" xfId="0" applyNumberFormat="1" applyFill="1"/>
    <xf numFmtId="169" fontId="0" fillId="0" borderId="0" xfId="0" applyNumberFormat="1" applyFill="1"/>
    <xf numFmtId="0" fontId="0" fillId="0" borderId="17" xfId="0" applyFill="1" applyBorder="1"/>
    <xf numFmtId="9" fontId="0" fillId="0" borderId="0" xfId="1" applyFont="1" applyFill="1"/>
    <xf numFmtId="0" fontId="0" fillId="0" borderId="0" xfId="0" applyAlignment="1">
      <alignment horizontal="center"/>
    </xf>
    <xf numFmtId="169" fontId="4" fillId="0" borderId="19" xfId="2" applyNumberFormat="1" applyFont="1" applyBorder="1"/>
    <xf numFmtId="0" fontId="11" fillId="0" borderId="0" xfId="0" applyFont="1" applyBorder="1" applyAlignment="1">
      <alignment horizontal="left"/>
    </xf>
    <xf numFmtId="0" fontId="11" fillId="0" borderId="0" xfId="0" applyFont="1" applyBorder="1" applyAlignment="1">
      <alignment vertical="center" wrapText="1"/>
    </xf>
    <xf numFmtId="168" fontId="0" fillId="0" borderId="1" xfId="2" applyNumberFormat="1" applyFont="1" applyBorder="1" applyAlignment="1">
      <alignment horizontal="center"/>
    </xf>
    <xf numFmtId="9" fontId="0" fillId="0" borderId="0" xfId="1" applyFont="1" applyBorder="1" applyAlignment="1">
      <alignment horizontal="left" vertical="top" wrapText="1"/>
    </xf>
    <xf numFmtId="0" fontId="0" fillId="0" borderId="0" xfId="0" applyBorder="1" applyAlignment="1">
      <alignment vertical="center"/>
    </xf>
    <xf numFmtId="0" fontId="0" fillId="0" borderId="0" xfId="0" applyBorder="1" applyAlignment="1"/>
    <xf numFmtId="0" fontId="0" fillId="0" borderId="0" xfId="0" applyBorder="1" applyAlignment="1">
      <alignment vertical="center" wrapText="1"/>
    </xf>
    <xf numFmtId="0" fontId="11" fillId="0" borderId="0" xfId="0" applyFont="1" applyBorder="1" applyAlignment="1">
      <alignment horizontal="left" vertical="center" wrapText="1"/>
    </xf>
    <xf numFmtId="9" fontId="0" fillId="0" borderId="0" xfId="1" applyFont="1" applyBorder="1"/>
    <xf numFmtId="9" fontId="0" fillId="0" borderId="1" xfId="1" applyFont="1" applyBorder="1"/>
    <xf numFmtId="168" fontId="0" fillId="0" borderId="1" xfId="2" applyNumberFormat="1" applyFont="1" applyFill="1" applyBorder="1"/>
    <xf numFmtId="9" fontId="4" fillId="0" borderId="21" xfId="1" applyFont="1" applyFill="1" applyBorder="1" applyAlignment="1">
      <alignment horizontal="center"/>
    </xf>
    <xf numFmtId="9" fontId="4" fillId="0" borderId="17" xfId="1" applyFont="1" applyFill="1" applyBorder="1" applyAlignment="1">
      <alignment horizontal="center"/>
    </xf>
    <xf numFmtId="9" fontId="4" fillId="0" borderId="1" xfId="1" applyFont="1" applyFill="1" applyBorder="1" applyAlignment="1">
      <alignment horizontal="center"/>
    </xf>
    <xf numFmtId="166" fontId="0" fillId="0" borderId="0" xfId="1" applyNumberFormat="1" applyFont="1" applyAlignment="1">
      <alignment horizontal="center"/>
    </xf>
    <xf numFmtId="169" fontId="0" fillId="0" borderId="0" xfId="0" applyNumberFormat="1" applyAlignment="1">
      <alignment horizontal="center"/>
    </xf>
    <xf numFmtId="9" fontId="4" fillId="0" borderId="0" xfId="1" applyFont="1" applyFill="1" applyBorder="1" applyAlignment="1">
      <alignment horizontal="center"/>
    </xf>
    <xf numFmtId="0" fontId="2" fillId="0" borderId="0"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0" fillId="0" borderId="0" xfId="0" applyFill="1" applyBorder="1"/>
    <xf numFmtId="9" fontId="0" fillId="0" borderId="0" xfId="0" applyNumberFormat="1" applyFill="1" applyBorder="1"/>
    <xf numFmtId="0" fontId="0" fillId="0" borderId="0" xfId="0" applyBorder="1" applyAlignment="1">
      <alignment horizontal="left"/>
    </xf>
    <xf numFmtId="9" fontId="0" fillId="0" borderId="1" xfId="1" applyFont="1" applyBorder="1" applyAlignment="1">
      <alignment horizontal="center"/>
    </xf>
    <xf numFmtId="168" fontId="0" fillId="0" borderId="0" xfId="2" applyNumberFormat="1" applyFont="1" applyBorder="1"/>
    <xf numFmtId="9" fontId="4" fillId="0" borderId="25" xfId="1" applyFont="1" applyFill="1" applyBorder="1" applyAlignment="1">
      <alignment horizontal="center"/>
    </xf>
    <xf numFmtId="9" fontId="0" fillId="0" borderId="1" xfId="1" applyFont="1" applyFill="1" applyBorder="1"/>
    <xf numFmtId="166" fontId="0" fillId="0" borderId="1" xfId="1" applyNumberFormat="1" applyFont="1" applyFill="1" applyBorder="1"/>
    <xf numFmtId="0" fontId="0" fillId="0" borderId="22" xfId="0" applyBorder="1" applyAlignment="1">
      <alignment horizontal="left"/>
    </xf>
    <xf numFmtId="170" fontId="0" fillId="0" borderId="0" xfId="2" applyNumberFormat="1" applyFont="1" applyFill="1"/>
    <xf numFmtId="169" fontId="0" fillId="0" borderId="0" xfId="0" applyNumberFormat="1" applyBorder="1" applyAlignment="1">
      <alignment vertical="center"/>
    </xf>
    <xf numFmtId="0" fontId="0" fillId="0" borderId="19" xfId="0" applyBorder="1"/>
    <xf numFmtId="0" fontId="0" fillId="0" borderId="18" xfId="0" applyBorder="1"/>
    <xf numFmtId="0" fontId="11" fillId="0" borderId="0" xfId="0" applyFont="1" applyBorder="1" applyAlignment="1"/>
    <xf numFmtId="166" fontId="4" fillId="0" borderId="1" xfId="1" applyNumberFormat="1" applyFont="1" applyFill="1" applyBorder="1" applyAlignment="1">
      <alignment horizontal="center"/>
    </xf>
    <xf numFmtId="166" fontId="4" fillId="0" borderId="17" xfId="1" applyNumberFormat="1" applyFont="1" applyFill="1" applyBorder="1" applyAlignment="1">
      <alignment horizontal="center"/>
    </xf>
    <xf numFmtId="2" fontId="0" fillId="3" borderId="21" xfId="0" applyNumberFormat="1" applyFill="1" applyBorder="1" applyAlignment="1">
      <alignment horizontal="center"/>
    </xf>
    <xf numFmtId="2" fontId="0" fillId="3" borderId="26" xfId="0" applyNumberFormat="1" applyFill="1" applyBorder="1" applyAlignment="1">
      <alignment horizontal="center"/>
    </xf>
    <xf numFmtId="9" fontId="0" fillId="3" borderId="6" xfId="1" applyNumberFormat="1" applyFont="1" applyFill="1" applyBorder="1" applyAlignment="1">
      <alignment horizontal="center"/>
    </xf>
    <xf numFmtId="9" fontId="0" fillId="4" borderId="6" xfId="1" applyNumberFormat="1" applyFont="1" applyFill="1" applyBorder="1" applyAlignment="1">
      <alignment horizontal="center"/>
    </xf>
    <xf numFmtId="9" fontId="0" fillId="3" borderId="9" xfId="1" applyNumberFormat="1" applyFont="1" applyFill="1" applyBorder="1" applyAlignment="1">
      <alignment horizontal="center"/>
    </xf>
    <xf numFmtId="9" fontId="7" fillId="0" borderId="5" xfId="1" applyNumberFormat="1" applyFont="1" applyFill="1" applyBorder="1" applyAlignment="1">
      <alignment horizontal="center"/>
    </xf>
    <xf numFmtId="9" fontId="7" fillId="0" borderId="1" xfId="1" applyNumberFormat="1" applyFont="1" applyFill="1" applyBorder="1" applyAlignment="1">
      <alignment horizontal="center"/>
    </xf>
    <xf numFmtId="9" fontId="7" fillId="0" borderId="7" xfId="1" applyNumberFormat="1" applyFont="1" applyFill="1" applyBorder="1" applyAlignment="1">
      <alignment horizontal="center"/>
    </xf>
    <xf numFmtId="9" fontId="7" fillId="0" borderId="8" xfId="1" applyNumberFormat="1" applyFont="1" applyFill="1" applyBorder="1" applyAlignment="1">
      <alignment horizontal="center"/>
    </xf>
    <xf numFmtId="170" fontId="0" fillId="3" borderId="5" xfId="2" applyNumberFormat="1" applyFont="1" applyFill="1" applyBorder="1" applyAlignment="1">
      <alignment horizontal="center"/>
    </xf>
    <xf numFmtId="170" fontId="0" fillId="3" borderId="1" xfId="2" applyNumberFormat="1" applyFont="1" applyFill="1" applyBorder="1" applyAlignment="1">
      <alignment horizontal="center"/>
    </xf>
    <xf numFmtId="170" fontId="0" fillId="3" borderId="7" xfId="2" applyNumberFormat="1" applyFont="1" applyFill="1" applyBorder="1" applyAlignment="1">
      <alignment horizontal="center"/>
    </xf>
    <xf numFmtId="170" fontId="0" fillId="3" borderId="8" xfId="2" applyNumberFormat="1" applyFont="1" applyFill="1" applyBorder="1" applyAlignment="1">
      <alignment horizontal="center"/>
    </xf>
    <xf numFmtId="0" fontId="11" fillId="0" borderId="0" xfId="0" applyFont="1" applyBorder="1" applyAlignment="1">
      <alignment wrapText="1"/>
    </xf>
    <xf numFmtId="166" fontId="0" fillId="0" borderId="0" xfId="0" applyNumberFormat="1"/>
    <xf numFmtId="43" fontId="0" fillId="0" borderId="0" xfId="0" applyNumberFormat="1"/>
    <xf numFmtId="0" fontId="13" fillId="0" borderId="0" xfId="0" applyFont="1" applyAlignment="1">
      <alignment vertical="center" wrapText="1"/>
    </xf>
    <xf numFmtId="0" fontId="14" fillId="0" borderId="0" xfId="0" applyFont="1" applyAlignment="1">
      <alignment horizontal="left" vertical="center" wrapText="1" indent="1"/>
    </xf>
    <xf numFmtId="0" fontId="0" fillId="0" borderId="0" xfId="0" applyFill="1" applyBorder="1" applyAlignment="1">
      <alignment vertical="center"/>
    </xf>
    <xf numFmtId="9" fontId="0" fillId="0" borderId="1" xfId="1" applyNumberFormat="1" applyFont="1" applyBorder="1" applyAlignment="1">
      <alignment horizontal="center"/>
    </xf>
    <xf numFmtId="168" fontId="4" fillId="0" borderId="0" xfId="2" applyNumberFormat="1" applyFont="1" applyFill="1" applyBorder="1"/>
    <xf numFmtId="166" fontId="0" fillId="0" borderId="1" xfId="1" applyNumberFormat="1" applyFont="1" applyBorder="1" applyAlignment="1">
      <alignment horizontal="center"/>
    </xf>
    <xf numFmtId="10" fontId="2" fillId="5" borderId="9" xfId="1" applyNumberFormat="1" applyFont="1" applyFill="1" applyBorder="1" applyAlignment="1">
      <alignment horizontal="center"/>
    </xf>
    <xf numFmtId="10" fontId="0" fillId="0" borderId="0" xfId="1" applyNumberFormat="1" applyFont="1"/>
    <xf numFmtId="170" fontId="0" fillId="0" borderId="0" xfId="2" applyNumberFormat="1" applyFont="1"/>
    <xf numFmtId="10" fontId="7" fillId="0" borderId="9" xfId="1" applyNumberFormat="1" applyFont="1" applyFill="1" applyBorder="1" applyAlignment="1">
      <alignment horizontal="center"/>
    </xf>
    <xf numFmtId="166" fontId="7" fillId="0" borderId="9" xfId="1" applyNumberFormat="1" applyFont="1" applyFill="1" applyBorder="1" applyAlignment="1">
      <alignment horizontal="center"/>
    </xf>
    <xf numFmtId="164" fontId="0" fillId="0" borderId="0" xfId="2" applyFont="1" applyFill="1"/>
    <xf numFmtId="43" fontId="4" fillId="0" borderId="0" xfId="2" applyNumberFormat="1" applyFont="1" applyFill="1" applyBorder="1"/>
    <xf numFmtId="166" fontId="0" fillId="0" borderId="23" xfId="1" applyNumberFormat="1" applyFont="1" applyFill="1" applyBorder="1"/>
    <xf numFmtId="169" fontId="0" fillId="0" borderId="0" xfId="0" applyNumberFormat="1" applyFill="1" applyBorder="1"/>
    <xf numFmtId="169" fontId="4" fillId="0" borderId="23" xfId="2" applyNumberFormat="1" applyFont="1" applyFill="1" applyBorder="1"/>
    <xf numFmtId="9" fontId="0" fillId="0" borderId="0" xfId="1" applyFont="1" applyFill="1" applyBorder="1" applyAlignment="1">
      <alignment horizontal="left"/>
    </xf>
    <xf numFmtId="0" fontId="11" fillId="0" borderId="0" xfId="0" applyFont="1" applyAlignment="1">
      <alignment wrapText="1"/>
    </xf>
    <xf numFmtId="166" fontId="0" fillId="0" borderId="1" xfId="1" applyNumberFormat="1" applyFont="1" applyBorder="1"/>
    <xf numFmtId="164" fontId="0" fillId="0" borderId="0" xfId="2" applyFont="1"/>
    <xf numFmtId="0" fontId="3" fillId="3" borderId="0" xfId="0" applyFont="1" applyFill="1"/>
    <xf numFmtId="0" fontId="3" fillId="0" borderId="0" xfId="0" applyFont="1"/>
    <xf numFmtId="0" fontId="2" fillId="2" borderId="0" xfId="0" applyFont="1" applyFill="1"/>
    <xf numFmtId="0" fontId="2" fillId="0" borderId="0" xfId="0" applyFont="1"/>
    <xf numFmtId="1" fontId="0" fillId="3" borderId="27" xfId="0" applyNumberFormat="1" applyFill="1" applyBorder="1" applyAlignment="1">
      <alignment horizontal="center"/>
    </xf>
    <xf numFmtId="1" fontId="0" fillId="3" borderId="21" xfId="0" applyNumberFormat="1" applyFill="1" applyBorder="1" applyAlignment="1">
      <alignment horizontal="center"/>
    </xf>
    <xf numFmtId="9" fontId="0" fillId="4" borderId="28" xfId="1" applyFont="1" applyFill="1" applyBorder="1" applyAlignment="1">
      <alignment horizontal="center"/>
    </xf>
    <xf numFmtId="2" fontId="0" fillId="3" borderId="27" xfId="0" applyNumberFormat="1" applyFill="1" applyBorder="1" applyAlignment="1">
      <alignment horizontal="center"/>
    </xf>
    <xf numFmtId="1" fontId="7" fillId="0" borderId="27" xfId="0" applyNumberFormat="1" applyFont="1" applyFill="1" applyBorder="1" applyAlignment="1">
      <alignment horizontal="center"/>
    </xf>
    <xf numFmtId="1" fontId="7" fillId="0" borderId="21" xfId="0" applyNumberFormat="1" applyFont="1" applyFill="1" applyBorder="1" applyAlignment="1">
      <alignment horizontal="center"/>
    </xf>
    <xf numFmtId="9" fontId="7" fillId="0" borderId="28" xfId="1" applyFont="1" applyFill="1" applyBorder="1" applyAlignment="1">
      <alignment horizontal="center"/>
    </xf>
    <xf numFmtId="9" fontId="7" fillId="0" borderId="27" xfId="1" applyNumberFormat="1" applyFont="1" applyFill="1" applyBorder="1" applyAlignment="1">
      <alignment horizontal="center"/>
    </xf>
    <xf numFmtId="9" fontId="7" fillId="0" borderId="21" xfId="1" applyNumberFormat="1" applyFont="1" applyFill="1" applyBorder="1" applyAlignment="1">
      <alignment horizontal="center"/>
    </xf>
    <xf numFmtId="2" fontId="7" fillId="0" borderId="21" xfId="0" applyNumberFormat="1" applyFont="1" applyFill="1" applyBorder="1" applyAlignment="1">
      <alignment horizontal="center"/>
    </xf>
    <xf numFmtId="2" fontId="7" fillId="0" borderId="27" xfId="0" applyNumberFormat="1" applyFont="1" applyFill="1" applyBorder="1" applyAlignment="1">
      <alignment horizontal="center"/>
    </xf>
    <xf numFmtId="1" fontId="0" fillId="3" borderId="29" xfId="0" applyNumberFormat="1" applyFill="1" applyBorder="1" applyAlignment="1">
      <alignment horizontal="center"/>
    </xf>
    <xf numFmtId="1" fontId="0" fillId="3" borderId="30" xfId="0" applyNumberFormat="1" applyFill="1" applyBorder="1" applyAlignment="1">
      <alignment horizontal="center"/>
    </xf>
    <xf numFmtId="166" fontId="2" fillId="5" borderId="31" xfId="1" applyNumberFormat="1" applyFont="1" applyFill="1" applyBorder="1" applyAlignment="1">
      <alignment horizontal="center"/>
    </xf>
    <xf numFmtId="2" fontId="0" fillId="3" borderId="29" xfId="0" applyNumberFormat="1" applyFill="1" applyBorder="1" applyAlignment="1">
      <alignment horizontal="center"/>
    </xf>
    <xf numFmtId="2" fontId="0" fillId="3" borderId="30" xfId="0" applyNumberFormat="1" applyFill="1" applyBorder="1" applyAlignment="1">
      <alignment horizontal="center"/>
    </xf>
    <xf numFmtId="1" fontId="7" fillId="0" borderId="29" xfId="0" applyNumberFormat="1" applyFont="1" applyFill="1" applyBorder="1" applyAlignment="1">
      <alignment horizontal="center"/>
    </xf>
    <xf numFmtId="1" fontId="7" fillId="0" borderId="30" xfId="0" applyNumberFormat="1" applyFont="1" applyFill="1" applyBorder="1" applyAlignment="1">
      <alignment horizontal="center"/>
    </xf>
    <xf numFmtId="9" fontId="7" fillId="0" borderId="31" xfId="1" applyFont="1" applyFill="1" applyBorder="1" applyAlignment="1">
      <alignment horizontal="center"/>
    </xf>
    <xf numFmtId="9" fontId="2" fillId="5" borderId="31" xfId="1" applyNumberFormat="1" applyFont="1" applyFill="1" applyBorder="1" applyAlignment="1">
      <alignment horizontal="center"/>
    </xf>
    <xf numFmtId="9" fontId="7" fillId="0" borderId="29" xfId="1" applyFont="1" applyFill="1" applyBorder="1" applyAlignment="1">
      <alignment horizontal="center"/>
    </xf>
    <xf numFmtId="9" fontId="7" fillId="0" borderId="30" xfId="1" applyFont="1" applyFill="1" applyBorder="1" applyAlignment="1">
      <alignment horizontal="center"/>
    </xf>
    <xf numFmtId="2" fontId="7" fillId="0" borderId="30" xfId="0" applyNumberFormat="1" applyFont="1" applyFill="1" applyBorder="1" applyAlignment="1">
      <alignment horizontal="center"/>
    </xf>
    <xf numFmtId="2" fontId="7" fillId="0" borderId="29" xfId="0" applyNumberFormat="1" applyFont="1" applyFill="1" applyBorder="1" applyAlignment="1">
      <alignment horizontal="center"/>
    </xf>
    <xf numFmtId="166" fontId="7" fillId="0" borderId="29" xfId="1" applyNumberFormat="1" applyFont="1" applyFill="1" applyBorder="1" applyAlignment="1">
      <alignment horizontal="center"/>
    </xf>
    <xf numFmtId="166" fontId="7" fillId="0" borderId="30" xfId="1" applyNumberFormat="1" applyFont="1" applyFill="1" applyBorder="1" applyAlignment="1">
      <alignment horizontal="center"/>
    </xf>
    <xf numFmtId="10" fontId="2" fillId="5" borderId="31" xfId="1" applyNumberFormat="1" applyFont="1" applyFill="1" applyBorder="1" applyAlignment="1">
      <alignment horizontal="center"/>
    </xf>
    <xf numFmtId="0" fontId="0" fillId="3" borderId="27" xfId="0" applyFill="1" applyBorder="1" applyAlignment="1">
      <alignment horizontal="center"/>
    </xf>
    <xf numFmtId="9" fontId="0" fillId="4" borderId="28" xfId="1" applyNumberFormat="1" applyFont="1" applyFill="1" applyBorder="1" applyAlignment="1">
      <alignment horizontal="center"/>
    </xf>
    <xf numFmtId="9" fontId="7" fillId="0" borderId="27" xfId="1" applyFont="1" applyFill="1" applyBorder="1" applyAlignment="1">
      <alignment horizontal="center"/>
    </xf>
    <xf numFmtId="9" fontId="7" fillId="0" borderId="21" xfId="1" applyFont="1" applyFill="1" applyBorder="1" applyAlignment="1">
      <alignment horizontal="center"/>
    </xf>
    <xf numFmtId="9" fontId="2" fillId="5" borderId="31" xfId="1" applyFont="1" applyFill="1" applyBorder="1" applyAlignment="1">
      <alignment horizontal="center"/>
    </xf>
    <xf numFmtId="168" fontId="0" fillId="3" borderId="27" xfId="2" applyNumberFormat="1" applyFont="1" applyFill="1" applyBorder="1" applyAlignment="1">
      <alignment horizontal="center"/>
    </xf>
    <xf numFmtId="168" fontId="0" fillId="3" borderId="21" xfId="2" applyNumberFormat="1" applyFont="1" applyFill="1" applyBorder="1" applyAlignment="1">
      <alignment horizontal="center"/>
    </xf>
    <xf numFmtId="166" fontId="0" fillId="4" borderId="28" xfId="1" applyNumberFormat="1" applyFont="1" applyFill="1" applyBorder="1" applyAlignment="1">
      <alignment horizontal="center"/>
    </xf>
    <xf numFmtId="168" fontId="0" fillId="3" borderId="29" xfId="2" applyNumberFormat="1" applyFont="1" applyFill="1" applyBorder="1" applyAlignment="1">
      <alignment horizontal="center"/>
    </xf>
    <xf numFmtId="168" fontId="0" fillId="3" borderId="30" xfId="2" applyNumberFormat="1" applyFont="1" applyFill="1" applyBorder="1" applyAlignment="1">
      <alignment horizontal="center"/>
    </xf>
    <xf numFmtId="170" fontId="0" fillId="3" borderId="27" xfId="2" applyNumberFormat="1" applyFont="1" applyFill="1" applyBorder="1" applyAlignment="1">
      <alignment horizontal="center"/>
    </xf>
    <xf numFmtId="170" fontId="0" fillId="3" borderId="21" xfId="2" applyNumberFormat="1" applyFont="1" applyFill="1" applyBorder="1" applyAlignment="1">
      <alignment horizontal="center"/>
    </xf>
    <xf numFmtId="10" fontId="7" fillId="0" borderId="27" xfId="1" applyNumberFormat="1" applyFont="1" applyFill="1" applyBorder="1" applyAlignment="1">
      <alignment horizontal="center"/>
    </xf>
    <xf numFmtId="10" fontId="7" fillId="0" borderId="21" xfId="1" applyNumberFormat="1" applyFont="1" applyFill="1" applyBorder="1" applyAlignment="1">
      <alignment horizontal="center"/>
    </xf>
    <xf numFmtId="167" fontId="7" fillId="0" borderId="21" xfId="0" applyNumberFormat="1" applyFont="1" applyFill="1" applyBorder="1" applyAlignment="1">
      <alignment horizontal="center"/>
    </xf>
    <xf numFmtId="0" fontId="0" fillId="3" borderId="29" xfId="0" applyNumberFormat="1" applyFill="1" applyBorder="1" applyAlignment="1">
      <alignment horizontal="center"/>
    </xf>
    <xf numFmtId="0" fontId="0" fillId="3" borderId="30" xfId="0" applyNumberFormat="1" applyFill="1" applyBorder="1" applyAlignment="1">
      <alignment horizontal="center"/>
    </xf>
    <xf numFmtId="10" fontId="7" fillId="0" borderId="31" xfId="1" applyNumberFormat="1" applyFont="1" applyFill="1" applyBorder="1" applyAlignment="1">
      <alignment horizontal="center"/>
    </xf>
    <xf numFmtId="165" fontId="0" fillId="3" borderId="29" xfId="0" applyNumberFormat="1" applyFill="1" applyBorder="1" applyAlignment="1">
      <alignment horizontal="center"/>
    </xf>
    <xf numFmtId="165" fontId="0" fillId="3" borderId="30" xfId="0" applyNumberFormat="1" applyFill="1" applyBorder="1" applyAlignment="1">
      <alignment horizontal="center"/>
    </xf>
    <xf numFmtId="10" fontId="7" fillId="0" borderId="29" xfId="1" applyNumberFormat="1" applyFont="1" applyFill="1" applyBorder="1" applyAlignment="1">
      <alignment horizontal="center"/>
    </xf>
    <xf numFmtId="10" fontId="7" fillId="0" borderId="30" xfId="1" applyNumberFormat="1" applyFont="1" applyFill="1" applyBorder="1" applyAlignment="1">
      <alignment horizontal="center"/>
    </xf>
    <xf numFmtId="10" fontId="7" fillId="0" borderId="30" xfId="0" applyNumberFormat="1" applyFont="1" applyFill="1" applyBorder="1" applyAlignment="1">
      <alignment horizontal="center"/>
    </xf>
    <xf numFmtId="166" fontId="10" fillId="0" borderId="31" xfId="1" applyNumberFormat="1" applyFont="1" applyFill="1" applyBorder="1" applyAlignment="1">
      <alignment horizontal="center"/>
    </xf>
    <xf numFmtId="9" fontId="0" fillId="3" borderId="29" xfId="1" applyFont="1" applyFill="1" applyBorder="1" applyAlignment="1">
      <alignment horizontal="center"/>
    </xf>
    <xf numFmtId="9" fontId="0" fillId="3" borderId="30" xfId="1" applyFont="1" applyFill="1" applyBorder="1" applyAlignment="1">
      <alignment horizontal="center"/>
    </xf>
    <xf numFmtId="167" fontId="7" fillId="0" borderId="30" xfId="0" applyNumberFormat="1" applyFont="1" applyFill="1" applyBorder="1" applyAlignment="1">
      <alignment horizontal="center"/>
    </xf>
    <xf numFmtId="2" fontId="0" fillId="3" borderId="32" xfId="0" applyNumberFormat="1" applyFill="1" applyBorder="1" applyAlignment="1">
      <alignment horizontal="center"/>
    </xf>
    <xf numFmtId="166" fontId="7" fillId="0" borderId="31" xfId="1" applyNumberFormat="1" applyFont="1" applyFill="1" applyBorder="1" applyAlignment="1">
      <alignment horizontal="center"/>
    </xf>
    <xf numFmtId="9" fontId="0" fillId="3" borderId="27" xfId="1" applyFont="1" applyFill="1" applyBorder="1" applyAlignment="1">
      <alignment horizontal="center"/>
    </xf>
    <xf numFmtId="9" fontId="0" fillId="3" borderId="21" xfId="1" applyFont="1" applyFill="1" applyBorder="1" applyAlignment="1">
      <alignment horizontal="center"/>
    </xf>
    <xf numFmtId="0" fontId="0" fillId="0" borderId="33" xfId="0" applyBorder="1"/>
    <xf numFmtId="0" fontId="0" fillId="0" borderId="26" xfId="0" applyBorder="1"/>
    <xf numFmtId="9" fontId="0" fillId="0" borderId="1" xfId="1" applyNumberFormat="1" applyFont="1" applyFill="1" applyBorder="1"/>
    <xf numFmtId="0" fontId="11" fillId="0" borderId="0" xfId="0" applyFont="1" applyBorder="1" applyAlignment="1">
      <alignment horizontal="left" vertical="center" wrapText="1"/>
    </xf>
    <xf numFmtId="9" fontId="0" fillId="0" borderId="0" xfId="1" applyFont="1" applyAlignment="1">
      <alignment horizontal="left"/>
    </xf>
    <xf numFmtId="0" fontId="0" fillId="0" borderId="0" xfId="0"/>
    <xf numFmtId="164" fontId="0" fillId="3" borderId="5" xfId="2" applyNumberFormat="1" applyFont="1" applyFill="1" applyBorder="1" applyAlignment="1">
      <alignment horizontal="center"/>
    </xf>
    <xf numFmtId="164" fontId="0" fillId="3" borderId="1" xfId="2" applyNumberFormat="1" applyFont="1" applyFill="1" applyBorder="1" applyAlignment="1">
      <alignment horizontal="center"/>
    </xf>
    <xf numFmtId="164" fontId="0" fillId="3" borderId="5" xfId="2" applyNumberFormat="1" applyFont="1" applyFill="1" applyBorder="1" applyAlignment="1">
      <alignment horizontal="center" vertical="center"/>
    </xf>
    <xf numFmtId="164" fontId="0" fillId="3" borderId="1" xfId="2" applyNumberFormat="1" applyFont="1" applyFill="1" applyBorder="1" applyAlignment="1">
      <alignment horizontal="center" vertical="center"/>
    </xf>
    <xf numFmtId="164" fontId="0" fillId="3" borderId="27" xfId="2" applyNumberFormat="1" applyFont="1" applyFill="1" applyBorder="1" applyAlignment="1">
      <alignment horizontal="center" vertical="center"/>
    </xf>
    <xf numFmtId="164" fontId="0" fillId="3" borderId="21" xfId="2" applyNumberFormat="1" applyFont="1" applyFill="1" applyBorder="1" applyAlignment="1">
      <alignment horizontal="center" vertical="center"/>
    </xf>
    <xf numFmtId="164" fontId="0" fillId="3" borderId="29" xfId="2" applyNumberFormat="1" applyFont="1" applyFill="1" applyBorder="1" applyAlignment="1">
      <alignment horizontal="center" vertical="center"/>
    </xf>
    <xf numFmtId="164" fontId="0" fillId="3" borderId="30" xfId="2" applyNumberFormat="1" applyFont="1" applyFill="1" applyBorder="1" applyAlignment="1">
      <alignment horizontal="center" vertical="center"/>
    </xf>
    <xf numFmtId="164" fontId="0" fillId="3" borderId="7" xfId="2" applyNumberFormat="1" applyFont="1" applyFill="1" applyBorder="1" applyAlignment="1">
      <alignment horizontal="center"/>
    </xf>
    <xf numFmtId="164" fontId="0" fillId="3" borderId="8" xfId="2" applyNumberFormat="1" applyFont="1" applyFill="1" applyBorder="1" applyAlignment="1">
      <alignment horizontal="center"/>
    </xf>
    <xf numFmtId="168" fontId="0" fillId="3" borderId="1" xfId="0" applyNumberFormat="1" applyFill="1" applyBorder="1" applyAlignment="1">
      <alignment horizontal="center"/>
    </xf>
    <xf numFmtId="168" fontId="0" fillId="3" borderId="21" xfId="0" applyNumberFormat="1" applyFill="1" applyBorder="1" applyAlignment="1">
      <alignment horizontal="center"/>
    </xf>
    <xf numFmtId="168" fontId="0" fillId="3" borderId="30" xfId="0" applyNumberFormat="1" applyFill="1" applyBorder="1" applyAlignment="1">
      <alignment horizontal="center"/>
    </xf>
    <xf numFmtId="168" fontId="0" fillId="3" borderId="8" xfId="0" applyNumberFormat="1" applyFill="1" applyBorder="1" applyAlignment="1">
      <alignment horizontal="center"/>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2" fontId="4" fillId="3" borderId="5" xfId="0" applyNumberFormat="1" applyFont="1" applyFill="1" applyBorder="1" applyAlignment="1">
      <alignment horizontal="center"/>
    </xf>
    <xf numFmtId="2" fontId="4" fillId="3" borderId="1" xfId="0" applyNumberFormat="1" applyFont="1" applyFill="1" applyBorder="1" applyAlignment="1">
      <alignment horizontal="center"/>
    </xf>
    <xf numFmtId="9" fontId="4" fillId="3" borderId="6" xfId="1" applyFont="1" applyFill="1" applyBorder="1" applyAlignment="1">
      <alignment horizontal="center"/>
    </xf>
    <xf numFmtId="2" fontId="4" fillId="3" borderId="27" xfId="0" applyNumberFormat="1" applyFont="1" applyFill="1" applyBorder="1" applyAlignment="1">
      <alignment horizontal="center"/>
    </xf>
    <xf numFmtId="2" fontId="4" fillId="3" borderId="21" xfId="0" applyNumberFormat="1" applyFont="1" applyFill="1" applyBorder="1" applyAlignment="1">
      <alignment horizontal="center"/>
    </xf>
    <xf numFmtId="2" fontId="4" fillId="3" borderId="29" xfId="0" applyNumberFormat="1" applyFont="1" applyFill="1" applyBorder="1" applyAlignment="1">
      <alignment horizontal="center"/>
    </xf>
    <xf numFmtId="2" fontId="4" fillId="3" borderId="30" xfId="0" applyNumberFormat="1" applyFont="1" applyFill="1" applyBorder="1" applyAlignment="1">
      <alignment horizontal="center"/>
    </xf>
    <xf numFmtId="9" fontId="4" fillId="4" borderId="28" xfId="1" applyFont="1" applyFill="1" applyBorder="1" applyAlignment="1">
      <alignment horizont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1" fontId="7" fillId="6" borderId="5" xfId="0" applyNumberFormat="1" applyFont="1" applyFill="1" applyBorder="1" applyAlignment="1">
      <alignment horizontal="center"/>
    </xf>
    <xf numFmtId="1" fontId="7" fillId="6" borderId="1" xfId="0" applyNumberFormat="1" applyFont="1" applyFill="1" applyBorder="1" applyAlignment="1">
      <alignment horizontal="center"/>
    </xf>
    <xf numFmtId="9" fontId="7" fillId="6" borderId="6" xfId="1" applyFont="1" applyFill="1" applyBorder="1" applyAlignment="1">
      <alignment horizontal="center"/>
    </xf>
    <xf numFmtId="1" fontId="7" fillId="6" borderId="27" xfId="0" applyNumberFormat="1" applyFont="1" applyFill="1" applyBorder="1" applyAlignment="1">
      <alignment horizontal="center"/>
    </xf>
    <xf numFmtId="1" fontId="7" fillId="6" borderId="21" xfId="0" applyNumberFormat="1" applyFont="1" applyFill="1" applyBorder="1" applyAlignment="1">
      <alignment horizontal="center"/>
    </xf>
    <xf numFmtId="9" fontId="7" fillId="6" borderId="28" xfId="1" applyFont="1" applyFill="1" applyBorder="1" applyAlignment="1">
      <alignment horizontal="center"/>
    </xf>
    <xf numFmtId="1" fontId="7" fillId="6" borderId="29" xfId="0" applyNumberFormat="1" applyFont="1" applyFill="1" applyBorder="1" applyAlignment="1">
      <alignment horizontal="center"/>
    </xf>
    <xf numFmtId="1" fontId="7" fillId="6" borderId="30" xfId="0" applyNumberFormat="1" applyFont="1" applyFill="1" applyBorder="1" applyAlignment="1">
      <alignment horizontal="center"/>
    </xf>
    <xf numFmtId="166" fontId="10" fillId="6" borderId="31" xfId="1" applyNumberFormat="1" applyFont="1" applyFill="1" applyBorder="1" applyAlignment="1">
      <alignment horizontal="center"/>
    </xf>
    <xf numFmtId="166" fontId="7" fillId="6" borderId="5" xfId="1" applyNumberFormat="1" applyFont="1" applyFill="1" applyBorder="1" applyAlignment="1">
      <alignment horizontal="center"/>
    </xf>
    <xf numFmtId="166" fontId="7" fillId="6" borderId="1" xfId="1" applyNumberFormat="1" applyFont="1" applyFill="1" applyBorder="1" applyAlignment="1">
      <alignment horizontal="center"/>
    </xf>
    <xf numFmtId="2" fontId="7" fillId="6" borderId="1" xfId="0" applyNumberFormat="1" applyFont="1" applyFill="1" applyBorder="1" applyAlignment="1">
      <alignment horizontal="center"/>
    </xf>
    <xf numFmtId="166" fontId="7" fillId="6" borderId="27" xfId="1" applyNumberFormat="1" applyFont="1" applyFill="1" applyBorder="1" applyAlignment="1">
      <alignment horizontal="center"/>
    </xf>
    <xf numFmtId="166" fontId="7" fillId="6" borderId="21" xfId="1" applyNumberFormat="1" applyFont="1" applyFill="1" applyBorder="1" applyAlignment="1">
      <alignment horizontal="center"/>
    </xf>
    <xf numFmtId="2" fontId="7" fillId="6" borderId="21" xfId="0" applyNumberFormat="1" applyFont="1" applyFill="1" applyBorder="1" applyAlignment="1">
      <alignment horizontal="center"/>
    </xf>
    <xf numFmtId="9" fontId="7" fillId="6" borderId="29" xfId="1" applyFont="1" applyFill="1" applyBorder="1" applyAlignment="1">
      <alignment horizontal="center"/>
    </xf>
    <xf numFmtId="9" fontId="7" fillId="6" borderId="30" xfId="1" applyFont="1" applyFill="1" applyBorder="1" applyAlignment="1">
      <alignment horizontal="center"/>
    </xf>
    <xf numFmtId="2" fontId="7" fillId="6" borderId="30" xfId="0" applyNumberFormat="1" applyFont="1" applyFill="1" applyBorder="1" applyAlignment="1">
      <alignment horizontal="center"/>
    </xf>
    <xf numFmtId="164" fontId="7" fillId="6" borderId="5" xfId="2" applyFont="1" applyFill="1" applyBorder="1" applyAlignment="1">
      <alignment horizontal="center"/>
    </xf>
    <xf numFmtId="164" fontId="7" fillId="6" borderId="1" xfId="2" applyFont="1" applyFill="1" applyBorder="1" applyAlignment="1">
      <alignment horizontal="center"/>
    </xf>
    <xf numFmtId="164" fontId="7" fillId="6" borderId="27" xfId="2" applyFont="1" applyFill="1" applyBorder="1" applyAlignment="1">
      <alignment horizontal="center"/>
    </xf>
    <xf numFmtId="164" fontId="7" fillId="6" borderId="21" xfId="2" applyFont="1" applyFill="1" applyBorder="1" applyAlignment="1">
      <alignment horizontal="center"/>
    </xf>
    <xf numFmtId="164" fontId="7" fillId="6" borderId="29" xfId="2" applyFont="1" applyFill="1" applyBorder="1" applyAlignment="1">
      <alignment horizontal="center"/>
    </xf>
    <xf numFmtId="164" fontId="7" fillId="6" borderId="30" xfId="2" applyFont="1" applyFill="1" applyBorder="1" applyAlignment="1">
      <alignment horizontal="center"/>
    </xf>
    <xf numFmtId="166" fontId="7" fillId="6" borderId="29" xfId="1" applyNumberFormat="1" applyFont="1" applyFill="1" applyBorder="1" applyAlignment="1">
      <alignment horizontal="center"/>
    </xf>
    <xf numFmtId="166" fontId="7" fillId="6" borderId="30" xfId="1" applyNumberFormat="1" applyFont="1" applyFill="1" applyBorder="1" applyAlignment="1">
      <alignment horizontal="center"/>
    </xf>
    <xf numFmtId="0" fontId="9" fillId="0" borderId="0" xfId="0" applyFont="1" applyAlignment="1">
      <alignment horizontal="center"/>
    </xf>
    <xf numFmtId="0" fontId="2" fillId="2" borderId="0" xfId="0" applyFont="1" applyFill="1" applyAlignment="1">
      <alignment horizontal="center"/>
    </xf>
    <xf numFmtId="0" fontId="0" fillId="0" borderId="19" xfId="0" applyBorder="1" applyAlignment="1">
      <alignment horizontal="left"/>
    </xf>
    <xf numFmtId="0" fontId="0" fillId="0" borderId="18" xfId="0" applyBorder="1" applyAlignment="1">
      <alignment horizontal="left"/>
    </xf>
    <xf numFmtId="0" fontId="0" fillId="0" borderId="0" xfId="0" applyBorder="1" applyAlignment="1">
      <alignment horizontal="left" vertical="top" wrapText="1"/>
    </xf>
    <xf numFmtId="0" fontId="2" fillId="2" borderId="0"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0" fillId="3" borderId="0" xfId="0" applyFill="1" applyAlignment="1">
      <alignment horizontal="left" vertical="center" wrapText="1"/>
    </xf>
    <xf numFmtId="0" fontId="0" fillId="0" borderId="0" xfId="0" applyFill="1" applyAlignment="1">
      <alignment horizontal="left" vertical="center" wrapText="1"/>
    </xf>
    <xf numFmtId="0" fontId="11" fillId="0" borderId="0" xfId="0" applyFont="1" applyBorder="1" applyAlignment="1">
      <alignment horizontal="left" wrapText="1"/>
    </xf>
    <xf numFmtId="0" fontId="0" fillId="0" borderId="0" xfId="0" applyFill="1" applyAlignment="1">
      <alignment vertical="center" wrapText="1"/>
    </xf>
    <xf numFmtId="0" fontId="11" fillId="0" borderId="0" xfId="0" applyFont="1" applyBorder="1" applyAlignment="1">
      <alignment horizontal="left" vertical="center" wrapText="1"/>
    </xf>
    <xf numFmtId="0" fontId="2" fillId="2" borderId="13" xfId="0" applyFont="1" applyFill="1" applyBorder="1" applyAlignment="1">
      <alignment horizontal="center" wrapText="1"/>
    </xf>
    <xf numFmtId="0" fontId="11" fillId="3" borderId="0" xfId="0" applyFont="1" applyFill="1" applyAlignment="1">
      <alignment horizontal="left" vertical="center" wrapText="1"/>
    </xf>
    <xf numFmtId="0" fontId="11" fillId="0" borderId="0" xfId="0" applyFont="1" applyFill="1" applyBorder="1" applyAlignment="1">
      <alignment horizontal="left" wrapText="1"/>
    </xf>
    <xf numFmtId="0" fontId="0" fillId="3" borderId="0" xfId="0" applyFont="1" applyFill="1" applyAlignment="1">
      <alignment horizontal="left" vertical="center" wrapText="1"/>
    </xf>
    <xf numFmtId="0" fontId="0" fillId="3" borderId="0" xfId="0" applyFont="1" applyFill="1" applyAlignment="1">
      <alignment horizontal="left" vertical="center"/>
    </xf>
    <xf numFmtId="0" fontId="11" fillId="0" borderId="0" xfId="0" applyFont="1" applyAlignment="1">
      <alignment horizontal="left" wrapText="1"/>
    </xf>
    <xf numFmtId="0" fontId="11" fillId="0" borderId="0" xfId="0" applyFont="1" applyAlignment="1">
      <alignment horizontal="left" vertical="center" wrapText="1"/>
    </xf>
    <xf numFmtId="0" fontId="2" fillId="2" borderId="14" xfId="0" applyFont="1" applyFill="1" applyBorder="1" applyAlignment="1">
      <alignment horizontal="center" wrapText="1"/>
    </xf>
    <xf numFmtId="0" fontId="12" fillId="0" borderId="0" xfId="0" applyFont="1" applyAlignment="1">
      <alignment horizontal="center" vertical="center"/>
    </xf>
  </cellXfs>
  <cellStyles count="4">
    <cellStyle name="Hipervínculo" xfId="3" builtinId="8"/>
    <cellStyle name="Millares" xfId="2" builtinId="3"/>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8" Type="http://schemas.openxmlformats.org/officeDocument/2006/relationships/hyperlink" Target="#'Peru DT'!A1"/><Relationship Id="rId13" Type="http://schemas.openxmlformats.org/officeDocument/2006/relationships/hyperlink" Target="#'Bolivia Support'!A1"/><Relationship Id="rId18" Type="http://schemas.openxmlformats.org/officeDocument/2006/relationships/hyperlink" Target="#'Argentina DT'!A1"/><Relationship Id="rId3" Type="http://schemas.openxmlformats.org/officeDocument/2006/relationships/hyperlink" Target="#'Arca DT'!A1"/><Relationship Id="rId7" Type="http://schemas.openxmlformats.org/officeDocument/2006/relationships/hyperlink" Target="#'Chile DT'!A1"/><Relationship Id="rId12" Type="http://schemas.openxmlformats.org/officeDocument/2006/relationships/hyperlink" Target="#'RLee Support'!A1"/><Relationship Id="rId17" Type="http://schemas.openxmlformats.org/officeDocument/2006/relationships/hyperlink" Target="#'Paraguay DT'!A1"/><Relationship Id="rId2" Type="http://schemas.openxmlformats.org/officeDocument/2006/relationships/image" Target="../media/image1.jfif"/><Relationship Id="rId16" Type="http://schemas.openxmlformats.org/officeDocument/2006/relationships/hyperlink" Target="#'Uruguay DT'!A1"/><Relationship Id="rId20" Type="http://schemas.openxmlformats.org/officeDocument/2006/relationships/hyperlink" Target="#'Paraguay Support'!A1"/><Relationship Id="rId1" Type="http://schemas.openxmlformats.org/officeDocument/2006/relationships/hyperlink" Target="#'Andina DT'!A1"/><Relationship Id="rId6" Type="http://schemas.openxmlformats.org/officeDocument/2006/relationships/hyperlink" Target="#'Bolivia DT'!A1"/><Relationship Id="rId11" Type="http://schemas.openxmlformats.org/officeDocument/2006/relationships/hyperlink" Target="#'Femsa Support'!A1"/><Relationship Id="rId5" Type="http://schemas.openxmlformats.org/officeDocument/2006/relationships/hyperlink" Target="#'RLee DT'!A1"/><Relationship Id="rId15" Type="http://schemas.openxmlformats.org/officeDocument/2006/relationships/hyperlink" Target="#'Peru Support'!A1"/><Relationship Id="rId10" Type="http://schemas.openxmlformats.org/officeDocument/2006/relationships/hyperlink" Target="#'Arca Support'!A1"/><Relationship Id="rId19" Type="http://schemas.openxmlformats.org/officeDocument/2006/relationships/hyperlink" Target="#'Uruguay Support'!A1"/><Relationship Id="rId4" Type="http://schemas.openxmlformats.org/officeDocument/2006/relationships/hyperlink" Target="#'Femsa DT'!A1"/><Relationship Id="rId9" Type="http://schemas.openxmlformats.org/officeDocument/2006/relationships/hyperlink" Target="#'Andina Support'!A1"/><Relationship Id="rId14" Type="http://schemas.openxmlformats.org/officeDocument/2006/relationships/hyperlink" Target="#'Chile Support'!A1"/></Relationships>
</file>

<file path=xl/drawings/_rels/drawing10.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2.png"/><Relationship Id="rId1" Type="http://schemas.openxmlformats.org/officeDocument/2006/relationships/hyperlink" Target="#'RLee DT'!A1"/><Relationship Id="rId4" Type="http://schemas.openxmlformats.org/officeDocument/2006/relationships/image" Target="../media/image3.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12.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2.png"/><Relationship Id="rId1" Type="http://schemas.openxmlformats.org/officeDocument/2006/relationships/hyperlink" Target="#'Bolivia DT'!A1"/><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14.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2.png"/><Relationship Id="rId1" Type="http://schemas.openxmlformats.org/officeDocument/2006/relationships/hyperlink" Target="#'Chile DT'!A1"/><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16.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2.png"/><Relationship Id="rId1" Type="http://schemas.openxmlformats.org/officeDocument/2006/relationships/hyperlink" Target="#'Peru DT'!A1"/><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18.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2.png"/><Relationship Id="rId1" Type="http://schemas.openxmlformats.org/officeDocument/2006/relationships/hyperlink" Target="#'Uruguay DT'!A1"/><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20.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2.png"/><Relationship Id="rId1" Type="http://schemas.openxmlformats.org/officeDocument/2006/relationships/hyperlink" Target="#'Paraguay DT'!A1"/><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2.png"/><Relationship Id="rId1" Type="http://schemas.openxmlformats.org/officeDocument/2006/relationships/hyperlink" Target="#'Andina DT'!A1"/><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2.png"/><Relationship Id="rId1" Type="http://schemas.openxmlformats.org/officeDocument/2006/relationships/hyperlink" Target="#'Arca DT'!A1"/><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8.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2.png"/><Relationship Id="rId1" Type="http://schemas.openxmlformats.org/officeDocument/2006/relationships/hyperlink" Target="#'Femsa DT'!A1"/><Relationship Id="rId4" Type="http://schemas.openxmlformats.org/officeDocument/2006/relationships/image" Target="../media/image3.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2</xdr:col>
      <xdr:colOff>499704</xdr:colOff>
      <xdr:row>3</xdr:row>
      <xdr:rowOff>88014</xdr:rowOff>
    </xdr:from>
    <xdr:to>
      <xdr:col>4</xdr:col>
      <xdr:colOff>742755</xdr:colOff>
      <xdr:row>13</xdr:row>
      <xdr:rowOff>62197</xdr:rowOff>
    </xdr:to>
    <xdr:pic macro="[1]!andina">
      <xdr:nvPicPr>
        <xdr:cNvPr id="51" name="Imagen 50">
          <a:hlinkClick xmlns:r="http://schemas.openxmlformats.org/officeDocument/2006/relationships" r:id="rId1" tooltip="Andina DT"/>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39362" y="675172"/>
          <a:ext cx="1782708" cy="1931374"/>
        </a:xfrm>
        <a:prstGeom prst="rect">
          <a:avLst/>
        </a:prstGeom>
        <a:ln>
          <a:noFill/>
        </a:ln>
      </xdr:spPr>
    </xdr:pic>
    <xdr:clientData/>
  </xdr:twoCellAnchor>
  <xdr:twoCellAnchor>
    <xdr:from>
      <xdr:col>4</xdr:col>
      <xdr:colOff>601489</xdr:colOff>
      <xdr:row>3</xdr:row>
      <xdr:rowOff>83636</xdr:rowOff>
    </xdr:from>
    <xdr:to>
      <xdr:col>7</xdr:col>
      <xdr:colOff>120803</xdr:colOff>
      <xdr:row>13</xdr:row>
      <xdr:rowOff>60416</xdr:rowOff>
    </xdr:to>
    <xdr:pic macro="[1]!arca">
      <xdr:nvPicPr>
        <xdr:cNvPr id="52" name="Imagen 51">
          <a:hlinkClick xmlns:r="http://schemas.openxmlformats.org/officeDocument/2006/relationships" r:id="rId3"/>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680804" y="670794"/>
          <a:ext cx="1828800" cy="1933971"/>
        </a:xfrm>
        <a:prstGeom prst="rect">
          <a:avLst/>
        </a:prstGeom>
        <a:ln>
          <a:noFill/>
        </a:ln>
      </xdr:spPr>
    </xdr:pic>
    <xdr:clientData/>
  </xdr:twoCellAnchor>
  <xdr:twoCellAnchor>
    <xdr:from>
      <xdr:col>6</xdr:col>
      <xdr:colOff>715553</xdr:colOff>
      <xdr:row>3</xdr:row>
      <xdr:rowOff>74112</xdr:rowOff>
    </xdr:from>
    <xdr:to>
      <xdr:col>9</xdr:col>
      <xdr:colOff>232782</xdr:colOff>
      <xdr:row>13</xdr:row>
      <xdr:rowOff>50890</xdr:rowOff>
    </xdr:to>
    <xdr:pic macro="[1]!femsa">
      <xdr:nvPicPr>
        <xdr:cNvPr id="53" name="Imagen 52">
          <a:hlinkClick xmlns:r="http://schemas.openxmlformats.org/officeDocument/2006/relationships" r:id="rId4"/>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34526" y="661270"/>
          <a:ext cx="1826715" cy="1933969"/>
        </a:xfrm>
        <a:prstGeom prst="rect">
          <a:avLst/>
        </a:prstGeom>
      </xdr:spPr>
    </xdr:pic>
    <xdr:clientData/>
  </xdr:twoCellAnchor>
  <xdr:twoCellAnchor>
    <xdr:from>
      <xdr:col>9</xdr:col>
      <xdr:colOff>131440</xdr:colOff>
      <xdr:row>3</xdr:row>
      <xdr:rowOff>74112</xdr:rowOff>
    </xdr:from>
    <xdr:to>
      <xdr:col>11</xdr:col>
      <xdr:colOff>409988</xdr:colOff>
      <xdr:row>13</xdr:row>
      <xdr:rowOff>50890</xdr:rowOff>
    </xdr:to>
    <xdr:pic macro="[1]!lee">
      <xdr:nvPicPr>
        <xdr:cNvPr id="54" name="Imagen 53">
          <a:hlinkClick xmlns:r="http://schemas.openxmlformats.org/officeDocument/2006/relationships" r:id="rId5"/>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59899" y="661270"/>
          <a:ext cx="1818205" cy="1933969"/>
        </a:xfrm>
        <a:prstGeom prst="rect">
          <a:avLst/>
        </a:prstGeom>
      </xdr:spPr>
    </xdr:pic>
    <xdr:clientData/>
  </xdr:twoCellAnchor>
  <xdr:oneCellAnchor>
    <xdr:from>
      <xdr:col>3</xdr:col>
      <xdr:colOff>82079</xdr:colOff>
      <xdr:row>7</xdr:row>
      <xdr:rowOff>80111</xdr:rowOff>
    </xdr:from>
    <xdr:ext cx="1047750" cy="261610"/>
    <xdr:sp macro="" textlink="">
      <xdr:nvSpPr>
        <xdr:cNvPr id="55" name="CuadroTexto 54">
          <a:extLst>
            <a:ext uri="{FF2B5EF4-FFF2-40B4-BE49-F238E27FC236}">
              <a16:creationId xmlns:a16="http://schemas.microsoft.com/office/drawing/2014/main" id="{00000000-0008-0000-0000-000037000000}"/>
            </a:ext>
          </a:extLst>
        </xdr:cNvPr>
        <xdr:cNvSpPr txBox="1"/>
      </xdr:nvSpPr>
      <xdr:spPr>
        <a:xfrm>
          <a:off x="2391565" y="1450145"/>
          <a:ext cx="104775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aseline="0">
              <a:solidFill>
                <a:schemeClr val="bg1"/>
              </a:solidFill>
              <a:latin typeface="TCCC-UnityHeadline" panose="020B0505030303020204" pitchFamily="34" charset="0"/>
              <a:cs typeface="Arial" panose="020B0604020202020204" pitchFamily="34" charset="0"/>
            </a:rPr>
            <a:t>ANDINA AR</a:t>
          </a:r>
        </a:p>
      </xdr:txBody>
    </xdr:sp>
    <xdr:clientData/>
  </xdr:oneCellAnchor>
  <xdr:twoCellAnchor>
    <xdr:from>
      <xdr:col>11</xdr:col>
      <xdr:colOff>292241</xdr:colOff>
      <xdr:row>3</xdr:row>
      <xdr:rowOff>83637</xdr:rowOff>
    </xdr:from>
    <xdr:to>
      <xdr:col>13</xdr:col>
      <xdr:colOff>535290</xdr:colOff>
      <xdr:row>13</xdr:row>
      <xdr:rowOff>57817</xdr:rowOff>
    </xdr:to>
    <xdr:pic macro="[1]!andina">
      <xdr:nvPicPr>
        <xdr:cNvPr id="56" name="Imagen 55">
          <a:hlinkClick xmlns:r="http://schemas.openxmlformats.org/officeDocument/2006/relationships" r:id="rId6" tooltip="Andina DT"/>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760357" y="670795"/>
          <a:ext cx="1782707" cy="1931371"/>
        </a:xfrm>
        <a:prstGeom prst="rect">
          <a:avLst/>
        </a:prstGeom>
        <a:ln>
          <a:noFill/>
        </a:ln>
      </xdr:spPr>
    </xdr:pic>
    <xdr:clientData/>
  </xdr:twoCellAnchor>
  <xdr:twoCellAnchor>
    <xdr:from>
      <xdr:col>13</xdr:col>
      <xdr:colOff>327349</xdr:colOff>
      <xdr:row>3</xdr:row>
      <xdr:rowOff>74112</xdr:rowOff>
    </xdr:from>
    <xdr:to>
      <xdr:col>15</xdr:col>
      <xdr:colOff>616492</xdr:colOff>
      <xdr:row>13</xdr:row>
      <xdr:rowOff>50890</xdr:rowOff>
    </xdr:to>
    <xdr:pic macro="[1]!arca">
      <xdr:nvPicPr>
        <xdr:cNvPr id="57" name="Imagen 56">
          <a:hlinkClick xmlns:r="http://schemas.openxmlformats.org/officeDocument/2006/relationships" r:id="rId7"/>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35123" y="661270"/>
          <a:ext cx="1828801" cy="1933969"/>
        </a:xfrm>
        <a:prstGeom prst="rect">
          <a:avLst/>
        </a:prstGeom>
        <a:ln>
          <a:noFill/>
        </a:ln>
      </xdr:spPr>
    </xdr:pic>
    <xdr:clientData/>
  </xdr:twoCellAnchor>
  <xdr:twoCellAnchor>
    <xdr:from>
      <xdr:col>15</xdr:col>
      <xdr:colOff>498564</xdr:colOff>
      <xdr:row>3</xdr:row>
      <xdr:rowOff>74112</xdr:rowOff>
    </xdr:from>
    <xdr:to>
      <xdr:col>18</xdr:col>
      <xdr:colOff>7965</xdr:colOff>
      <xdr:row>13</xdr:row>
      <xdr:rowOff>50890</xdr:rowOff>
    </xdr:to>
    <xdr:pic macro="[1]!femsa">
      <xdr:nvPicPr>
        <xdr:cNvPr id="58" name="Imagen 57">
          <a:hlinkClick xmlns:r="http://schemas.openxmlformats.org/officeDocument/2006/relationships" r:id="rId8"/>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045996" y="661270"/>
          <a:ext cx="1818887" cy="1933969"/>
        </a:xfrm>
        <a:prstGeom prst="rect">
          <a:avLst/>
        </a:prstGeom>
      </xdr:spPr>
    </xdr:pic>
    <xdr:clientData/>
  </xdr:twoCellAnchor>
  <xdr:oneCellAnchor>
    <xdr:from>
      <xdr:col>5</xdr:col>
      <xdr:colOff>175632</xdr:colOff>
      <xdr:row>7</xdr:row>
      <xdr:rowOff>51536</xdr:rowOff>
    </xdr:from>
    <xdr:ext cx="1047750" cy="261610"/>
    <xdr:sp macro="" textlink="">
      <xdr:nvSpPr>
        <xdr:cNvPr id="59" name="CuadroTexto 58">
          <a:extLst>
            <a:ext uri="{FF2B5EF4-FFF2-40B4-BE49-F238E27FC236}">
              <a16:creationId xmlns:a16="http://schemas.microsoft.com/office/drawing/2014/main" id="{00000000-0008-0000-0000-00003B000000}"/>
            </a:ext>
          </a:extLst>
        </xdr:cNvPr>
        <xdr:cNvSpPr txBox="1"/>
      </xdr:nvSpPr>
      <xdr:spPr>
        <a:xfrm>
          <a:off x="4024776" y="1421570"/>
          <a:ext cx="104775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aseline="0">
              <a:solidFill>
                <a:schemeClr val="bg1"/>
              </a:solidFill>
              <a:latin typeface="TCCC-UnityHeadline" panose="020B0505030303020204" pitchFamily="34" charset="0"/>
              <a:cs typeface="Arial" panose="020B0604020202020204" pitchFamily="34" charset="0"/>
            </a:rPr>
            <a:t>ARCA</a:t>
          </a:r>
        </a:p>
      </xdr:txBody>
    </xdr:sp>
    <xdr:clientData/>
  </xdr:oneCellAnchor>
  <xdr:oneCellAnchor>
    <xdr:from>
      <xdr:col>7</xdr:col>
      <xdr:colOff>318508</xdr:colOff>
      <xdr:row>7</xdr:row>
      <xdr:rowOff>42011</xdr:rowOff>
    </xdr:from>
    <xdr:ext cx="1047750" cy="261610"/>
    <xdr:sp macro="" textlink="">
      <xdr:nvSpPr>
        <xdr:cNvPr id="60" name="CuadroTexto 59">
          <a:extLst>
            <a:ext uri="{FF2B5EF4-FFF2-40B4-BE49-F238E27FC236}">
              <a16:creationId xmlns:a16="http://schemas.microsoft.com/office/drawing/2014/main" id="{00000000-0008-0000-0000-00003C000000}"/>
            </a:ext>
          </a:extLst>
        </xdr:cNvPr>
        <xdr:cNvSpPr txBox="1"/>
      </xdr:nvSpPr>
      <xdr:spPr>
        <a:xfrm>
          <a:off x="5707309" y="1412045"/>
          <a:ext cx="104775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aseline="0">
              <a:solidFill>
                <a:schemeClr val="bg1"/>
              </a:solidFill>
              <a:latin typeface="TCCC-UnityHeadline" panose="020B0505030303020204" pitchFamily="34" charset="0"/>
              <a:cs typeface="Arial" panose="020B0604020202020204" pitchFamily="34" charset="0"/>
            </a:rPr>
            <a:t>FEMSA</a:t>
          </a:r>
        </a:p>
      </xdr:txBody>
    </xdr:sp>
    <xdr:clientData/>
  </xdr:oneCellAnchor>
  <xdr:oneCellAnchor>
    <xdr:from>
      <xdr:col>9</xdr:col>
      <xdr:colOff>470907</xdr:colOff>
      <xdr:row>7</xdr:row>
      <xdr:rowOff>51536</xdr:rowOff>
    </xdr:from>
    <xdr:ext cx="1047750" cy="261610"/>
    <xdr:sp macro="" textlink="">
      <xdr:nvSpPr>
        <xdr:cNvPr id="61" name="CuadroTexto 60">
          <a:extLst>
            <a:ext uri="{FF2B5EF4-FFF2-40B4-BE49-F238E27FC236}">
              <a16:creationId xmlns:a16="http://schemas.microsoft.com/office/drawing/2014/main" id="{00000000-0008-0000-0000-00003D000000}"/>
            </a:ext>
          </a:extLst>
        </xdr:cNvPr>
        <xdr:cNvSpPr txBox="1"/>
      </xdr:nvSpPr>
      <xdr:spPr>
        <a:xfrm>
          <a:off x="7399366" y="1421570"/>
          <a:ext cx="104775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aseline="0">
              <a:solidFill>
                <a:schemeClr val="bg1"/>
              </a:solidFill>
              <a:latin typeface="TCCC-UnityHeadline" panose="020B0505030303020204" pitchFamily="34" charset="0"/>
              <a:cs typeface="Arial" panose="020B0604020202020204" pitchFamily="34" charset="0"/>
            </a:rPr>
            <a:t>R. LEE</a:t>
          </a:r>
        </a:p>
      </xdr:txBody>
    </xdr:sp>
    <xdr:clientData/>
  </xdr:oneCellAnchor>
  <xdr:oneCellAnchor>
    <xdr:from>
      <xdr:col>11</xdr:col>
      <xdr:colOff>615869</xdr:colOff>
      <xdr:row>7</xdr:row>
      <xdr:rowOff>51536</xdr:rowOff>
    </xdr:from>
    <xdr:ext cx="1047750" cy="261610"/>
    <xdr:sp macro="" textlink="">
      <xdr:nvSpPr>
        <xdr:cNvPr id="62" name="CuadroTexto 61">
          <a:extLst>
            <a:ext uri="{FF2B5EF4-FFF2-40B4-BE49-F238E27FC236}">
              <a16:creationId xmlns:a16="http://schemas.microsoft.com/office/drawing/2014/main" id="{00000000-0008-0000-0000-00003E000000}"/>
            </a:ext>
          </a:extLst>
        </xdr:cNvPr>
        <xdr:cNvSpPr txBox="1"/>
      </xdr:nvSpPr>
      <xdr:spPr>
        <a:xfrm>
          <a:off x="9083985" y="1421570"/>
          <a:ext cx="104775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aseline="0">
              <a:solidFill>
                <a:schemeClr val="bg1"/>
              </a:solidFill>
              <a:latin typeface="TCCC-UnityHeadline" panose="020B0505030303020204" pitchFamily="34" charset="0"/>
              <a:cs typeface="Arial" panose="020B0604020202020204" pitchFamily="34" charset="0"/>
            </a:rPr>
            <a:t>BOLIVIA</a:t>
          </a:r>
        </a:p>
      </xdr:txBody>
    </xdr:sp>
    <xdr:clientData/>
  </xdr:oneCellAnchor>
  <xdr:oneCellAnchor>
    <xdr:from>
      <xdr:col>13</xdr:col>
      <xdr:colOff>673018</xdr:colOff>
      <xdr:row>7</xdr:row>
      <xdr:rowOff>51536</xdr:rowOff>
    </xdr:from>
    <xdr:ext cx="1047750" cy="261610"/>
    <xdr:sp macro="" textlink="">
      <xdr:nvSpPr>
        <xdr:cNvPr id="63" name="CuadroTexto 62">
          <a:extLst>
            <a:ext uri="{FF2B5EF4-FFF2-40B4-BE49-F238E27FC236}">
              <a16:creationId xmlns:a16="http://schemas.microsoft.com/office/drawing/2014/main" id="{00000000-0008-0000-0000-00003F000000}"/>
            </a:ext>
          </a:extLst>
        </xdr:cNvPr>
        <xdr:cNvSpPr txBox="1"/>
      </xdr:nvSpPr>
      <xdr:spPr>
        <a:xfrm>
          <a:off x="10680792" y="1421570"/>
          <a:ext cx="104775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aseline="0">
              <a:solidFill>
                <a:schemeClr val="bg1"/>
              </a:solidFill>
              <a:latin typeface="TCCC-UnityHeadline" panose="020B0505030303020204" pitchFamily="34" charset="0"/>
              <a:cs typeface="Arial" panose="020B0604020202020204" pitchFamily="34" charset="0"/>
            </a:rPr>
            <a:t>CHILE</a:t>
          </a:r>
        </a:p>
      </xdr:txBody>
    </xdr:sp>
    <xdr:clientData/>
  </xdr:oneCellAnchor>
  <xdr:oneCellAnchor>
    <xdr:from>
      <xdr:col>16</xdr:col>
      <xdr:colOff>84165</xdr:colOff>
      <xdr:row>7</xdr:row>
      <xdr:rowOff>44102</xdr:rowOff>
    </xdr:from>
    <xdr:ext cx="1047750" cy="261610"/>
    <xdr:sp macro="" textlink="">
      <xdr:nvSpPr>
        <xdr:cNvPr id="64" name="CuadroTexto 63">
          <a:extLst>
            <a:ext uri="{FF2B5EF4-FFF2-40B4-BE49-F238E27FC236}">
              <a16:creationId xmlns:a16="http://schemas.microsoft.com/office/drawing/2014/main" id="{00000000-0008-0000-0000-000040000000}"/>
            </a:ext>
          </a:extLst>
        </xdr:cNvPr>
        <xdr:cNvSpPr txBox="1"/>
      </xdr:nvSpPr>
      <xdr:spPr>
        <a:xfrm>
          <a:off x="12401425" y="1414136"/>
          <a:ext cx="104775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aseline="0">
              <a:solidFill>
                <a:schemeClr val="bg1"/>
              </a:solidFill>
              <a:latin typeface="TCCC-UnityHeadline" panose="020B0505030303020204" pitchFamily="34" charset="0"/>
              <a:cs typeface="Arial" panose="020B0604020202020204" pitchFamily="34" charset="0"/>
            </a:rPr>
            <a:t>PERU</a:t>
          </a:r>
        </a:p>
      </xdr:txBody>
    </xdr:sp>
    <xdr:clientData/>
  </xdr:oneCellAnchor>
  <xdr:twoCellAnchor>
    <xdr:from>
      <xdr:col>2</xdr:col>
      <xdr:colOff>480654</xdr:colOff>
      <xdr:row>15</xdr:row>
      <xdr:rowOff>175827</xdr:rowOff>
    </xdr:from>
    <xdr:to>
      <xdr:col>4</xdr:col>
      <xdr:colOff>723705</xdr:colOff>
      <xdr:row>25</xdr:row>
      <xdr:rowOff>150010</xdr:rowOff>
    </xdr:to>
    <xdr:pic macro="[1]!andina">
      <xdr:nvPicPr>
        <xdr:cNvPr id="65" name="Imagen 64">
          <a:hlinkClick xmlns:r="http://schemas.openxmlformats.org/officeDocument/2006/relationships" r:id="rId9" tooltip="Andina DT"/>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20312" y="3111615"/>
          <a:ext cx="1782708" cy="1931374"/>
        </a:xfrm>
        <a:prstGeom prst="rect">
          <a:avLst/>
        </a:prstGeom>
        <a:ln>
          <a:noFill/>
        </a:ln>
      </xdr:spPr>
    </xdr:pic>
    <xdr:clientData/>
  </xdr:twoCellAnchor>
  <xdr:twoCellAnchor>
    <xdr:from>
      <xdr:col>4</xdr:col>
      <xdr:colOff>582439</xdr:colOff>
      <xdr:row>15</xdr:row>
      <xdr:rowOff>171449</xdr:rowOff>
    </xdr:from>
    <xdr:to>
      <xdr:col>7</xdr:col>
      <xdr:colOff>101753</xdr:colOff>
      <xdr:row>25</xdr:row>
      <xdr:rowOff>148229</xdr:rowOff>
    </xdr:to>
    <xdr:pic macro="[1]!arca">
      <xdr:nvPicPr>
        <xdr:cNvPr id="66" name="Imagen 65">
          <a:hlinkClick xmlns:r="http://schemas.openxmlformats.org/officeDocument/2006/relationships" r:id="rId10"/>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661754" y="3107237"/>
          <a:ext cx="1828800" cy="1933971"/>
        </a:xfrm>
        <a:prstGeom prst="rect">
          <a:avLst/>
        </a:prstGeom>
        <a:ln>
          <a:noFill/>
        </a:ln>
      </xdr:spPr>
    </xdr:pic>
    <xdr:clientData/>
  </xdr:twoCellAnchor>
  <xdr:twoCellAnchor>
    <xdr:from>
      <xdr:col>6</xdr:col>
      <xdr:colOff>696503</xdr:colOff>
      <xdr:row>15</xdr:row>
      <xdr:rowOff>161925</xdr:rowOff>
    </xdr:from>
    <xdr:to>
      <xdr:col>9</xdr:col>
      <xdr:colOff>213732</xdr:colOff>
      <xdr:row>25</xdr:row>
      <xdr:rowOff>138703</xdr:rowOff>
    </xdr:to>
    <xdr:pic macro="[1]!femsa">
      <xdr:nvPicPr>
        <xdr:cNvPr id="67" name="Imagen 66">
          <a:hlinkClick xmlns:r="http://schemas.openxmlformats.org/officeDocument/2006/relationships" r:id="rId11"/>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15476" y="3097713"/>
          <a:ext cx="1826715" cy="1933969"/>
        </a:xfrm>
        <a:prstGeom prst="rect">
          <a:avLst/>
        </a:prstGeom>
      </xdr:spPr>
    </xdr:pic>
    <xdr:clientData/>
  </xdr:twoCellAnchor>
  <xdr:twoCellAnchor>
    <xdr:from>
      <xdr:col>9</xdr:col>
      <xdr:colOff>112390</xdr:colOff>
      <xdr:row>15</xdr:row>
      <xdr:rowOff>161925</xdr:rowOff>
    </xdr:from>
    <xdr:to>
      <xdr:col>11</xdr:col>
      <xdr:colOff>390938</xdr:colOff>
      <xdr:row>25</xdr:row>
      <xdr:rowOff>138703</xdr:rowOff>
    </xdr:to>
    <xdr:pic macro="[1]!lee">
      <xdr:nvPicPr>
        <xdr:cNvPr id="68" name="Imagen 67">
          <a:hlinkClick xmlns:r="http://schemas.openxmlformats.org/officeDocument/2006/relationships" r:id="rId12"/>
          <a:extLst>
            <a:ext uri="{FF2B5EF4-FFF2-40B4-BE49-F238E27FC236}">
              <a16:creationId xmlns:a16="http://schemas.microsoft.com/office/drawing/2014/main" id="{00000000-0008-0000-0000-00004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40849" y="3097713"/>
          <a:ext cx="1818205" cy="1933969"/>
        </a:xfrm>
        <a:prstGeom prst="rect">
          <a:avLst/>
        </a:prstGeom>
      </xdr:spPr>
    </xdr:pic>
    <xdr:clientData/>
  </xdr:twoCellAnchor>
  <xdr:oneCellAnchor>
    <xdr:from>
      <xdr:col>3</xdr:col>
      <xdr:colOff>63029</xdr:colOff>
      <xdr:row>19</xdr:row>
      <xdr:rowOff>167924</xdr:rowOff>
    </xdr:from>
    <xdr:ext cx="1047750" cy="261610"/>
    <xdr:sp macro="" textlink="">
      <xdr:nvSpPr>
        <xdr:cNvPr id="69" name="CuadroTexto 68">
          <a:extLst>
            <a:ext uri="{FF2B5EF4-FFF2-40B4-BE49-F238E27FC236}">
              <a16:creationId xmlns:a16="http://schemas.microsoft.com/office/drawing/2014/main" id="{00000000-0008-0000-0000-000045000000}"/>
            </a:ext>
          </a:extLst>
        </xdr:cNvPr>
        <xdr:cNvSpPr txBox="1"/>
      </xdr:nvSpPr>
      <xdr:spPr>
        <a:xfrm>
          <a:off x="2372515" y="3886588"/>
          <a:ext cx="104775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aseline="0">
              <a:solidFill>
                <a:schemeClr val="bg1"/>
              </a:solidFill>
              <a:latin typeface="TCCC-UnityHeadline" panose="020B0505030303020204" pitchFamily="34" charset="0"/>
              <a:cs typeface="Arial" panose="020B0604020202020204" pitchFamily="34" charset="0"/>
            </a:rPr>
            <a:t>ANDINA AR</a:t>
          </a:r>
        </a:p>
      </xdr:txBody>
    </xdr:sp>
    <xdr:clientData/>
  </xdr:oneCellAnchor>
  <xdr:twoCellAnchor>
    <xdr:from>
      <xdr:col>11</xdr:col>
      <xdr:colOff>273191</xdr:colOff>
      <xdr:row>15</xdr:row>
      <xdr:rowOff>171450</xdr:rowOff>
    </xdr:from>
    <xdr:to>
      <xdr:col>13</xdr:col>
      <xdr:colOff>516240</xdr:colOff>
      <xdr:row>25</xdr:row>
      <xdr:rowOff>145630</xdr:rowOff>
    </xdr:to>
    <xdr:pic macro="[1]!andina">
      <xdr:nvPicPr>
        <xdr:cNvPr id="70" name="Imagen 69">
          <a:hlinkClick xmlns:r="http://schemas.openxmlformats.org/officeDocument/2006/relationships" r:id="rId13" tooltip="Andina DT"/>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741307" y="3107238"/>
          <a:ext cx="1782707" cy="1931371"/>
        </a:xfrm>
        <a:prstGeom prst="rect">
          <a:avLst/>
        </a:prstGeom>
        <a:ln>
          <a:noFill/>
        </a:ln>
      </xdr:spPr>
    </xdr:pic>
    <xdr:clientData/>
  </xdr:twoCellAnchor>
  <xdr:twoCellAnchor>
    <xdr:from>
      <xdr:col>13</xdr:col>
      <xdr:colOff>308299</xdr:colOff>
      <xdr:row>15</xdr:row>
      <xdr:rowOff>161925</xdr:rowOff>
    </xdr:from>
    <xdr:to>
      <xdr:col>15</xdr:col>
      <xdr:colOff>597442</xdr:colOff>
      <xdr:row>25</xdr:row>
      <xdr:rowOff>138703</xdr:rowOff>
    </xdr:to>
    <xdr:pic macro="[1]!arca">
      <xdr:nvPicPr>
        <xdr:cNvPr id="71" name="Imagen 70">
          <a:hlinkClick xmlns:r="http://schemas.openxmlformats.org/officeDocument/2006/relationships" r:id="rId14"/>
          <a:extLst>
            <a:ext uri="{FF2B5EF4-FFF2-40B4-BE49-F238E27FC236}">
              <a16:creationId xmlns:a16="http://schemas.microsoft.com/office/drawing/2014/main" id="{00000000-0008-0000-0000-00004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16073" y="3097713"/>
          <a:ext cx="1828801" cy="1933969"/>
        </a:xfrm>
        <a:prstGeom prst="rect">
          <a:avLst/>
        </a:prstGeom>
        <a:ln>
          <a:noFill/>
        </a:ln>
      </xdr:spPr>
    </xdr:pic>
    <xdr:clientData/>
  </xdr:twoCellAnchor>
  <xdr:twoCellAnchor>
    <xdr:from>
      <xdr:col>15</xdr:col>
      <xdr:colOff>479514</xdr:colOff>
      <xdr:row>15</xdr:row>
      <xdr:rowOff>161925</xdr:rowOff>
    </xdr:from>
    <xdr:to>
      <xdr:col>17</xdr:col>
      <xdr:colOff>758744</xdr:colOff>
      <xdr:row>25</xdr:row>
      <xdr:rowOff>138703</xdr:rowOff>
    </xdr:to>
    <xdr:pic macro="[1]!femsa">
      <xdr:nvPicPr>
        <xdr:cNvPr id="72" name="Imagen 71">
          <a:hlinkClick xmlns:r="http://schemas.openxmlformats.org/officeDocument/2006/relationships" r:id="rId15"/>
          <a:extLst>
            <a:ext uri="{FF2B5EF4-FFF2-40B4-BE49-F238E27FC236}">
              <a16:creationId xmlns:a16="http://schemas.microsoft.com/office/drawing/2014/main" id="{00000000-0008-0000-0000-00004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026946" y="3097713"/>
          <a:ext cx="1818887" cy="1933969"/>
        </a:xfrm>
        <a:prstGeom prst="rect">
          <a:avLst/>
        </a:prstGeom>
      </xdr:spPr>
    </xdr:pic>
    <xdr:clientData/>
  </xdr:twoCellAnchor>
  <xdr:oneCellAnchor>
    <xdr:from>
      <xdr:col>5</xdr:col>
      <xdr:colOff>156582</xdr:colOff>
      <xdr:row>19</xdr:row>
      <xdr:rowOff>139349</xdr:rowOff>
    </xdr:from>
    <xdr:ext cx="1047750" cy="261610"/>
    <xdr:sp macro="" textlink="">
      <xdr:nvSpPr>
        <xdr:cNvPr id="73" name="CuadroTexto 72">
          <a:extLst>
            <a:ext uri="{FF2B5EF4-FFF2-40B4-BE49-F238E27FC236}">
              <a16:creationId xmlns:a16="http://schemas.microsoft.com/office/drawing/2014/main" id="{00000000-0008-0000-0000-000049000000}"/>
            </a:ext>
          </a:extLst>
        </xdr:cNvPr>
        <xdr:cNvSpPr txBox="1"/>
      </xdr:nvSpPr>
      <xdr:spPr>
        <a:xfrm>
          <a:off x="4005726" y="3858013"/>
          <a:ext cx="104775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aseline="0">
              <a:solidFill>
                <a:schemeClr val="bg1"/>
              </a:solidFill>
              <a:latin typeface="TCCC-UnityHeadline" panose="020B0505030303020204" pitchFamily="34" charset="0"/>
              <a:cs typeface="Arial" panose="020B0604020202020204" pitchFamily="34" charset="0"/>
            </a:rPr>
            <a:t>ARCA</a:t>
          </a:r>
        </a:p>
      </xdr:txBody>
    </xdr:sp>
    <xdr:clientData/>
  </xdr:oneCellAnchor>
  <xdr:oneCellAnchor>
    <xdr:from>
      <xdr:col>7</xdr:col>
      <xdr:colOff>299458</xdr:colOff>
      <xdr:row>19</xdr:row>
      <xdr:rowOff>129824</xdr:rowOff>
    </xdr:from>
    <xdr:ext cx="1047750" cy="261610"/>
    <xdr:sp macro="" textlink="">
      <xdr:nvSpPr>
        <xdr:cNvPr id="74" name="CuadroTexto 73">
          <a:extLst>
            <a:ext uri="{FF2B5EF4-FFF2-40B4-BE49-F238E27FC236}">
              <a16:creationId xmlns:a16="http://schemas.microsoft.com/office/drawing/2014/main" id="{00000000-0008-0000-0000-00004A000000}"/>
            </a:ext>
          </a:extLst>
        </xdr:cNvPr>
        <xdr:cNvSpPr txBox="1"/>
      </xdr:nvSpPr>
      <xdr:spPr>
        <a:xfrm>
          <a:off x="5688259" y="3848488"/>
          <a:ext cx="104775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aseline="0">
              <a:solidFill>
                <a:schemeClr val="bg1"/>
              </a:solidFill>
              <a:latin typeface="TCCC-UnityHeadline" panose="020B0505030303020204" pitchFamily="34" charset="0"/>
              <a:cs typeface="Arial" panose="020B0604020202020204" pitchFamily="34" charset="0"/>
            </a:rPr>
            <a:t>FEMSA</a:t>
          </a:r>
        </a:p>
      </xdr:txBody>
    </xdr:sp>
    <xdr:clientData/>
  </xdr:oneCellAnchor>
  <xdr:oneCellAnchor>
    <xdr:from>
      <xdr:col>9</xdr:col>
      <xdr:colOff>451857</xdr:colOff>
      <xdr:row>19</xdr:row>
      <xdr:rowOff>139349</xdr:rowOff>
    </xdr:from>
    <xdr:ext cx="1047750" cy="261610"/>
    <xdr:sp macro="" textlink="">
      <xdr:nvSpPr>
        <xdr:cNvPr id="75" name="CuadroTexto 74">
          <a:extLst>
            <a:ext uri="{FF2B5EF4-FFF2-40B4-BE49-F238E27FC236}">
              <a16:creationId xmlns:a16="http://schemas.microsoft.com/office/drawing/2014/main" id="{00000000-0008-0000-0000-00004B000000}"/>
            </a:ext>
          </a:extLst>
        </xdr:cNvPr>
        <xdr:cNvSpPr txBox="1"/>
      </xdr:nvSpPr>
      <xdr:spPr>
        <a:xfrm>
          <a:off x="7380316" y="3858013"/>
          <a:ext cx="104775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aseline="0">
              <a:solidFill>
                <a:schemeClr val="bg1"/>
              </a:solidFill>
              <a:latin typeface="TCCC-UnityHeadline" panose="020B0505030303020204" pitchFamily="34" charset="0"/>
              <a:cs typeface="Arial" panose="020B0604020202020204" pitchFamily="34" charset="0"/>
            </a:rPr>
            <a:t>R. LEE</a:t>
          </a:r>
        </a:p>
      </xdr:txBody>
    </xdr:sp>
    <xdr:clientData/>
  </xdr:oneCellAnchor>
  <xdr:oneCellAnchor>
    <xdr:from>
      <xdr:col>11</xdr:col>
      <xdr:colOff>596819</xdr:colOff>
      <xdr:row>19</xdr:row>
      <xdr:rowOff>139349</xdr:rowOff>
    </xdr:from>
    <xdr:ext cx="1047750" cy="261610"/>
    <xdr:sp macro="" textlink="">
      <xdr:nvSpPr>
        <xdr:cNvPr id="76" name="CuadroTexto 75">
          <a:extLst>
            <a:ext uri="{FF2B5EF4-FFF2-40B4-BE49-F238E27FC236}">
              <a16:creationId xmlns:a16="http://schemas.microsoft.com/office/drawing/2014/main" id="{00000000-0008-0000-0000-00004C000000}"/>
            </a:ext>
          </a:extLst>
        </xdr:cNvPr>
        <xdr:cNvSpPr txBox="1"/>
      </xdr:nvSpPr>
      <xdr:spPr>
        <a:xfrm>
          <a:off x="9064935" y="3858013"/>
          <a:ext cx="104775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aseline="0">
              <a:solidFill>
                <a:schemeClr val="bg1"/>
              </a:solidFill>
              <a:latin typeface="TCCC-UnityHeadline" panose="020B0505030303020204" pitchFamily="34" charset="0"/>
              <a:cs typeface="Arial" panose="020B0604020202020204" pitchFamily="34" charset="0"/>
            </a:rPr>
            <a:t>BOLIVIA</a:t>
          </a:r>
        </a:p>
      </xdr:txBody>
    </xdr:sp>
    <xdr:clientData/>
  </xdr:oneCellAnchor>
  <xdr:oneCellAnchor>
    <xdr:from>
      <xdr:col>13</xdr:col>
      <xdr:colOff>653968</xdr:colOff>
      <xdr:row>19</xdr:row>
      <xdr:rowOff>139349</xdr:rowOff>
    </xdr:from>
    <xdr:ext cx="1047750" cy="261610"/>
    <xdr:sp macro="" textlink="">
      <xdr:nvSpPr>
        <xdr:cNvPr id="77" name="CuadroTexto 76">
          <a:extLst>
            <a:ext uri="{FF2B5EF4-FFF2-40B4-BE49-F238E27FC236}">
              <a16:creationId xmlns:a16="http://schemas.microsoft.com/office/drawing/2014/main" id="{00000000-0008-0000-0000-00004D000000}"/>
            </a:ext>
          </a:extLst>
        </xdr:cNvPr>
        <xdr:cNvSpPr txBox="1"/>
      </xdr:nvSpPr>
      <xdr:spPr>
        <a:xfrm>
          <a:off x="10661742" y="3858013"/>
          <a:ext cx="104775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aseline="0">
              <a:solidFill>
                <a:schemeClr val="bg1"/>
              </a:solidFill>
              <a:latin typeface="TCCC-UnityHeadline" panose="020B0505030303020204" pitchFamily="34" charset="0"/>
              <a:cs typeface="Arial" panose="020B0604020202020204" pitchFamily="34" charset="0"/>
            </a:rPr>
            <a:t>CHILE</a:t>
          </a:r>
        </a:p>
      </xdr:txBody>
    </xdr:sp>
    <xdr:clientData/>
  </xdr:oneCellAnchor>
  <xdr:oneCellAnchor>
    <xdr:from>
      <xdr:col>16</xdr:col>
      <xdr:colOff>65115</xdr:colOff>
      <xdr:row>19</xdr:row>
      <xdr:rowOff>120299</xdr:rowOff>
    </xdr:from>
    <xdr:ext cx="1047750" cy="261610"/>
    <xdr:sp macro="" textlink="">
      <xdr:nvSpPr>
        <xdr:cNvPr id="78" name="CuadroTexto 77">
          <a:extLst>
            <a:ext uri="{FF2B5EF4-FFF2-40B4-BE49-F238E27FC236}">
              <a16:creationId xmlns:a16="http://schemas.microsoft.com/office/drawing/2014/main" id="{00000000-0008-0000-0000-00004E000000}"/>
            </a:ext>
          </a:extLst>
        </xdr:cNvPr>
        <xdr:cNvSpPr txBox="1"/>
      </xdr:nvSpPr>
      <xdr:spPr>
        <a:xfrm>
          <a:off x="12382375" y="3838963"/>
          <a:ext cx="104775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aseline="0">
              <a:solidFill>
                <a:schemeClr val="bg1"/>
              </a:solidFill>
              <a:latin typeface="TCCC-UnityHeadline" panose="020B0505030303020204" pitchFamily="34" charset="0"/>
              <a:cs typeface="Arial" panose="020B0604020202020204" pitchFamily="34" charset="0"/>
            </a:rPr>
            <a:t>PERU</a:t>
          </a:r>
        </a:p>
      </xdr:txBody>
    </xdr:sp>
    <xdr:clientData/>
  </xdr:oneCellAnchor>
  <xdr:oneCellAnchor>
    <xdr:from>
      <xdr:col>6</xdr:col>
      <xdr:colOff>533400</xdr:colOff>
      <xdr:row>0</xdr:row>
      <xdr:rowOff>76200</xdr:rowOff>
    </xdr:from>
    <xdr:ext cx="2482796" cy="646331"/>
    <xdr:sp macro="" textlink="">
      <xdr:nvSpPr>
        <xdr:cNvPr id="80" name="CuadroTexto 79">
          <a:extLst>
            <a:ext uri="{FF2B5EF4-FFF2-40B4-BE49-F238E27FC236}">
              <a16:creationId xmlns:a16="http://schemas.microsoft.com/office/drawing/2014/main" id="{00000000-0008-0000-0000-000050000000}"/>
            </a:ext>
          </a:extLst>
        </xdr:cNvPr>
        <xdr:cNvSpPr txBox="1"/>
      </xdr:nvSpPr>
      <xdr:spPr>
        <a:xfrm>
          <a:off x="5133278" y="76200"/>
          <a:ext cx="2482796" cy="6463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600" b="1">
              <a:latin typeface="TCCC-UnityHeadline" panose="020B0505030303020204" pitchFamily="34" charset="0"/>
              <a:cs typeface="Arial" panose="020B0604020202020204" pitchFamily="34" charset="0"/>
            </a:rPr>
            <a:t>DUE-TOS</a:t>
          </a:r>
        </a:p>
      </xdr:txBody>
    </xdr:sp>
    <xdr:clientData/>
  </xdr:oneCellAnchor>
  <xdr:oneCellAnchor>
    <xdr:from>
      <xdr:col>6</xdr:col>
      <xdr:colOff>457200</xdr:colOff>
      <xdr:row>13</xdr:row>
      <xdr:rowOff>66675</xdr:rowOff>
    </xdr:from>
    <xdr:ext cx="2639825" cy="646331"/>
    <xdr:sp macro="" textlink="">
      <xdr:nvSpPr>
        <xdr:cNvPr id="81" name="CuadroTexto 80">
          <a:extLst>
            <a:ext uri="{FF2B5EF4-FFF2-40B4-BE49-F238E27FC236}">
              <a16:creationId xmlns:a16="http://schemas.microsoft.com/office/drawing/2014/main" id="{00000000-0008-0000-0000-000051000000}"/>
            </a:ext>
          </a:extLst>
        </xdr:cNvPr>
        <xdr:cNvSpPr txBox="1"/>
      </xdr:nvSpPr>
      <xdr:spPr>
        <a:xfrm>
          <a:off x="5057078" y="2482773"/>
          <a:ext cx="2639825" cy="6463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600" b="1">
              <a:latin typeface="TCCC-UnityHeadline" panose="020B0505030303020204" pitchFamily="34" charset="0"/>
              <a:cs typeface="Arial" panose="020B0604020202020204" pitchFamily="34" charset="0"/>
            </a:rPr>
            <a:t>SUPPORT</a:t>
          </a:r>
        </a:p>
      </xdr:txBody>
    </xdr:sp>
    <xdr:clientData/>
  </xdr:oneCellAnchor>
  <xdr:twoCellAnchor>
    <xdr:from>
      <xdr:col>17</xdr:col>
      <xdr:colOff>716944</xdr:colOff>
      <xdr:row>3</xdr:row>
      <xdr:rowOff>39264</xdr:rowOff>
    </xdr:from>
    <xdr:to>
      <xdr:col>20</xdr:col>
      <xdr:colOff>226344</xdr:colOff>
      <xdr:row>13</xdr:row>
      <xdr:rowOff>16042</xdr:rowOff>
    </xdr:to>
    <xdr:pic macro="[1]!femsa">
      <xdr:nvPicPr>
        <xdr:cNvPr id="48" name="Imagen 57">
          <a:hlinkClick xmlns:r="http://schemas.openxmlformats.org/officeDocument/2006/relationships" r:id="rId16"/>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04033" y="626422"/>
          <a:ext cx="1818886" cy="1933969"/>
        </a:xfrm>
        <a:prstGeom prst="rect">
          <a:avLst/>
        </a:prstGeom>
      </xdr:spPr>
    </xdr:pic>
    <xdr:clientData/>
  </xdr:twoCellAnchor>
  <xdr:oneCellAnchor>
    <xdr:from>
      <xdr:col>18</xdr:col>
      <xdr:colOff>332674</xdr:colOff>
      <xdr:row>7</xdr:row>
      <xdr:rowOff>57112</xdr:rowOff>
    </xdr:from>
    <xdr:ext cx="1047750" cy="261610"/>
    <xdr:sp macro="" textlink="">
      <xdr:nvSpPr>
        <xdr:cNvPr id="49" name="CuadroTexto 63">
          <a:extLst>
            <a:ext uri="{FF2B5EF4-FFF2-40B4-BE49-F238E27FC236}">
              <a16:creationId xmlns:a16="http://schemas.microsoft.com/office/drawing/2014/main" id="{00000000-0008-0000-0000-000031000000}"/>
            </a:ext>
          </a:extLst>
        </xdr:cNvPr>
        <xdr:cNvSpPr txBox="1"/>
      </xdr:nvSpPr>
      <xdr:spPr>
        <a:xfrm>
          <a:off x="14189592" y="1427146"/>
          <a:ext cx="104775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aseline="0">
              <a:solidFill>
                <a:schemeClr val="bg1"/>
              </a:solidFill>
              <a:latin typeface="TCCC-UnityHeadline" panose="020B0505030303020204" pitchFamily="34" charset="0"/>
              <a:cs typeface="Arial" panose="020B0604020202020204" pitchFamily="34" charset="0"/>
            </a:rPr>
            <a:t>URUGUAY</a:t>
          </a:r>
        </a:p>
      </xdr:txBody>
    </xdr:sp>
    <xdr:clientData/>
  </xdr:oneCellAnchor>
  <xdr:twoCellAnchor>
    <xdr:from>
      <xdr:col>20</xdr:col>
      <xdr:colOff>6588</xdr:colOff>
      <xdr:row>3</xdr:row>
      <xdr:rowOff>52274</xdr:rowOff>
    </xdr:from>
    <xdr:to>
      <xdr:col>22</xdr:col>
      <xdr:colOff>288999</xdr:colOff>
      <xdr:row>13</xdr:row>
      <xdr:rowOff>29052</xdr:rowOff>
    </xdr:to>
    <xdr:pic macro="[1]!femsa">
      <xdr:nvPicPr>
        <xdr:cNvPr id="50" name="Imagen 57">
          <a:hlinkClick xmlns:r="http://schemas.openxmlformats.org/officeDocument/2006/relationships" r:id="rId17"/>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403163" y="639432"/>
          <a:ext cx="1822069" cy="1933969"/>
        </a:xfrm>
        <a:prstGeom prst="rect">
          <a:avLst/>
        </a:prstGeom>
      </xdr:spPr>
    </xdr:pic>
    <xdr:clientData/>
  </xdr:twoCellAnchor>
  <xdr:oneCellAnchor>
    <xdr:from>
      <xdr:col>20</xdr:col>
      <xdr:colOff>392148</xdr:colOff>
      <xdr:row>7</xdr:row>
      <xdr:rowOff>58506</xdr:rowOff>
    </xdr:from>
    <xdr:ext cx="1047750" cy="261610"/>
    <xdr:sp macro="" textlink="">
      <xdr:nvSpPr>
        <xdr:cNvPr id="79" name="CuadroTexto 63">
          <a:extLst>
            <a:ext uri="{FF2B5EF4-FFF2-40B4-BE49-F238E27FC236}">
              <a16:creationId xmlns:a16="http://schemas.microsoft.com/office/drawing/2014/main" id="{00000000-0008-0000-0000-00004F000000}"/>
            </a:ext>
          </a:extLst>
        </xdr:cNvPr>
        <xdr:cNvSpPr txBox="1"/>
      </xdr:nvSpPr>
      <xdr:spPr>
        <a:xfrm>
          <a:off x="15788723" y="1428540"/>
          <a:ext cx="104775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aseline="0">
              <a:solidFill>
                <a:schemeClr val="bg1"/>
              </a:solidFill>
              <a:latin typeface="TCCC-UnityHeadline" panose="020B0505030303020204" pitchFamily="34" charset="0"/>
              <a:cs typeface="Arial" panose="020B0604020202020204" pitchFamily="34" charset="0"/>
            </a:rPr>
            <a:t>PARAGUAY</a:t>
          </a:r>
        </a:p>
      </xdr:txBody>
    </xdr:sp>
    <xdr:clientData/>
  </xdr:oneCellAnchor>
  <xdr:twoCellAnchor>
    <xdr:from>
      <xdr:col>0</xdr:col>
      <xdr:colOff>404186</xdr:colOff>
      <xdr:row>3</xdr:row>
      <xdr:rowOff>109934</xdr:rowOff>
    </xdr:from>
    <xdr:to>
      <xdr:col>2</xdr:col>
      <xdr:colOff>647236</xdr:colOff>
      <xdr:row>13</xdr:row>
      <xdr:rowOff>84117</xdr:rowOff>
    </xdr:to>
    <xdr:pic macro="[1]!andina">
      <xdr:nvPicPr>
        <xdr:cNvPr id="82" name="Imagen 81">
          <a:hlinkClick xmlns:r="http://schemas.openxmlformats.org/officeDocument/2006/relationships" r:id="rId18" tooltip="Andina DT"/>
          <a:extLst>
            <a:ext uri="{FF2B5EF4-FFF2-40B4-BE49-F238E27FC236}">
              <a16:creationId xmlns:a16="http://schemas.microsoft.com/office/drawing/2014/main" id="{00000000-0008-0000-0000-00005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4186" y="697092"/>
          <a:ext cx="1782708" cy="1931374"/>
        </a:xfrm>
        <a:prstGeom prst="rect">
          <a:avLst/>
        </a:prstGeom>
        <a:ln>
          <a:noFill/>
        </a:ln>
      </xdr:spPr>
    </xdr:pic>
    <xdr:clientData/>
  </xdr:twoCellAnchor>
  <xdr:oneCellAnchor>
    <xdr:from>
      <xdr:col>0</xdr:col>
      <xdr:colOff>756389</xdr:colOff>
      <xdr:row>7</xdr:row>
      <xdr:rowOff>102031</xdr:rowOff>
    </xdr:from>
    <xdr:ext cx="1047750" cy="261610"/>
    <xdr:sp macro="" textlink="">
      <xdr:nvSpPr>
        <xdr:cNvPr id="83" name="CuadroTexto 82">
          <a:extLst>
            <a:ext uri="{FF2B5EF4-FFF2-40B4-BE49-F238E27FC236}">
              <a16:creationId xmlns:a16="http://schemas.microsoft.com/office/drawing/2014/main" id="{00000000-0008-0000-0000-000053000000}"/>
            </a:ext>
          </a:extLst>
        </xdr:cNvPr>
        <xdr:cNvSpPr txBox="1"/>
      </xdr:nvSpPr>
      <xdr:spPr>
        <a:xfrm>
          <a:off x="756389" y="1472065"/>
          <a:ext cx="104775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aseline="0">
              <a:solidFill>
                <a:schemeClr val="bg1"/>
              </a:solidFill>
              <a:latin typeface="TCCC-UnityHeadline" panose="020B0505030303020204" pitchFamily="34" charset="0"/>
              <a:cs typeface="Arial" panose="020B0604020202020204" pitchFamily="34" charset="0"/>
            </a:rPr>
            <a:t>ARGENTINA</a:t>
          </a:r>
        </a:p>
      </xdr:txBody>
    </xdr:sp>
    <xdr:clientData/>
  </xdr:oneCellAnchor>
  <xdr:twoCellAnchor>
    <xdr:from>
      <xdr:col>17</xdr:col>
      <xdr:colOff>736298</xdr:colOff>
      <xdr:row>15</xdr:row>
      <xdr:rowOff>118606</xdr:rowOff>
    </xdr:from>
    <xdr:to>
      <xdr:col>20</xdr:col>
      <xdr:colOff>245699</xdr:colOff>
      <xdr:row>25</xdr:row>
      <xdr:rowOff>95384</xdr:rowOff>
    </xdr:to>
    <xdr:pic macro="[1]!femsa">
      <xdr:nvPicPr>
        <xdr:cNvPr id="38" name="Imagen 37">
          <a:hlinkClick xmlns:r="http://schemas.openxmlformats.org/officeDocument/2006/relationships" r:id="rId19"/>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23387" y="3054394"/>
          <a:ext cx="1818887" cy="1933969"/>
        </a:xfrm>
        <a:prstGeom prst="rect">
          <a:avLst/>
        </a:prstGeom>
      </xdr:spPr>
    </xdr:pic>
    <xdr:clientData/>
  </xdr:twoCellAnchor>
  <xdr:oneCellAnchor>
    <xdr:from>
      <xdr:col>18</xdr:col>
      <xdr:colOff>321898</xdr:colOff>
      <xdr:row>19</xdr:row>
      <xdr:rowOff>76980</xdr:rowOff>
    </xdr:from>
    <xdr:ext cx="1047750" cy="261610"/>
    <xdr:sp macro="" textlink="">
      <xdr:nvSpPr>
        <xdr:cNvPr id="39" name="CuadroTexto 38">
          <a:extLst>
            <a:ext uri="{FF2B5EF4-FFF2-40B4-BE49-F238E27FC236}">
              <a16:creationId xmlns:a16="http://schemas.microsoft.com/office/drawing/2014/main" id="{00000000-0008-0000-0000-000027000000}"/>
            </a:ext>
          </a:extLst>
        </xdr:cNvPr>
        <xdr:cNvSpPr txBox="1"/>
      </xdr:nvSpPr>
      <xdr:spPr>
        <a:xfrm>
          <a:off x="14178816" y="3795644"/>
          <a:ext cx="104775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aseline="0">
              <a:solidFill>
                <a:schemeClr val="bg1"/>
              </a:solidFill>
              <a:latin typeface="TCCC-UnityHeadline" panose="020B0505030303020204" pitchFamily="34" charset="0"/>
              <a:cs typeface="Arial" panose="020B0604020202020204" pitchFamily="34" charset="0"/>
            </a:rPr>
            <a:t>URUGUAY</a:t>
          </a:r>
        </a:p>
      </xdr:txBody>
    </xdr:sp>
    <xdr:clientData/>
  </xdr:oneCellAnchor>
  <xdr:twoCellAnchor>
    <xdr:from>
      <xdr:col>20</xdr:col>
      <xdr:colOff>92774</xdr:colOff>
      <xdr:row>15</xdr:row>
      <xdr:rowOff>114431</xdr:rowOff>
    </xdr:from>
    <xdr:to>
      <xdr:col>22</xdr:col>
      <xdr:colOff>372003</xdr:colOff>
      <xdr:row>25</xdr:row>
      <xdr:rowOff>91209</xdr:rowOff>
    </xdr:to>
    <xdr:pic macro="[1]!femsa">
      <xdr:nvPicPr>
        <xdr:cNvPr id="40" name="Imagen 39">
          <a:hlinkClick xmlns:r="http://schemas.openxmlformats.org/officeDocument/2006/relationships" r:id="rId20"/>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489349" y="3050219"/>
          <a:ext cx="1818887" cy="1933969"/>
        </a:xfrm>
        <a:prstGeom prst="rect">
          <a:avLst/>
        </a:prstGeom>
      </xdr:spPr>
    </xdr:pic>
    <xdr:clientData/>
  </xdr:twoCellAnchor>
  <xdr:oneCellAnchor>
    <xdr:from>
      <xdr:col>20</xdr:col>
      <xdr:colOff>461251</xdr:colOff>
      <xdr:row>19</xdr:row>
      <xdr:rowOff>85853</xdr:rowOff>
    </xdr:from>
    <xdr:ext cx="1047750" cy="261610"/>
    <xdr:sp macro="" textlink="">
      <xdr:nvSpPr>
        <xdr:cNvPr id="41" name="CuadroTexto 40">
          <a:extLst>
            <a:ext uri="{FF2B5EF4-FFF2-40B4-BE49-F238E27FC236}">
              <a16:creationId xmlns:a16="http://schemas.microsoft.com/office/drawing/2014/main" id="{00000000-0008-0000-0000-000029000000}"/>
            </a:ext>
          </a:extLst>
        </xdr:cNvPr>
        <xdr:cNvSpPr txBox="1"/>
      </xdr:nvSpPr>
      <xdr:spPr>
        <a:xfrm>
          <a:off x="15857826" y="3804517"/>
          <a:ext cx="104775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aseline="0">
              <a:solidFill>
                <a:schemeClr val="bg1"/>
              </a:solidFill>
              <a:latin typeface="TCCC-UnityHeadline" panose="020B0505030303020204" pitchFamily="34" charset="0"/>
              <a:cs typeface="Arial" panose="020B0604020202020204" pitchFamily="34" charset="0"/>
            </a:rPr>
            <a:t>PARAGUAY</a:t>
          </a:r>
        </a:p>
      </xdr:txBody>
    </xdr:sp>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171869</xdr:colOff>
      <xdr:row>0</xdr:row>
      <xdr:rowOff>83344</xdr:rowOff>
    </xdr:from>
    <xdr:to>
      <xdr:col>0</xdr:col>
      <xdr:colOff>558084</xdr:colOff>
      <xdr:row>0</xdr:row>
      <xdr:rowOff>389640</xdr:rowOff>
    </xdr:to>
    <xdr:pic macro="[1]!volver">
      <xdr:nvPicPr>
        <xdr:cNvPr id="2" name="Imagen 1">
          <a:hlinkClick xmlns:r="http://schemas.openxmlformats.org/officeDocument/2006/relationships" r:id="rId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869" y="83344"/>
          <a:ext cx="386215" cy="306296"/>
        </a:xfrm>
        <a:prstGeom prst="rect">
          <a:avLst/>
        </a:prstGeom>
      </xdr:spPr>
    </xdr:pic>
    <xdr:clientData/>
  </xdr:twoCellAnchor>
  <xdr:twoCellAnchor editAs="oneCell">
    <xdr:from>
      <xdr:col>0</xdr:col>
      <xdr:colOff>1539076</xdr:colOff>
      <xdr:row>0</xdr:row>
      <xdr:rowOff>59530</xdr:rowOff>
    </xdr:from>
    <xdr:to>
      <xdr:col>0</xdr:col>
      <xdr:colOff>1920076</xdr:colOff>
      <xdr:row>1</xdr:row>
      <xdr:rowOff>793</xdr:rowOff>
    </xdr:to>
    <xdr:pic>
      <xdr:nvPicPr>
        <xdr:cNvPr id="3" name="Imagen 2" descr="File:&lt;strong&gt;Home&lt;/strong&gt; &lt;strong&gt;Icon&lt;/strong&gt;.svg - Wikimedia Commons">
          <a:hlinkClick xmlns:r="http://schemas.openxmlformats.org/officeDocument/2006/relationships" r:id="rId3"/>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39076" y="59530"/>
          <a:ext cx="381000" cy="37941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95250</xdr:colOff>
      <xdr:row>0</xdr:row>
      <xdr:rowOff>38100</xdr:rowOff>
    </xdr:from>
    <xdr:to>
      <xdr:col>0</xdr:col>
      <xdr:colOff>481465</xdr:colOff>
      <xdr:row>1</xdr:row>
      <xdr:rowOff>11021</xdr:rowOff>
    </xdr:to>
    <xdr:pic macro="[1]!volver">
      <xdr:nvPicPr>
        <xdr:cNvPr id="2" name="Imagen 1">
          <a:hlinkClick xmlns:r="http://schemas.openxmlformats.org/officeDocument/2006/relationships" r:id="rId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50" y="38100"/>
          <a:ext cx="386215" cy="306296"/>
        </a:xfrm>
        <a:prstGeom prst="rect">
          <a:avLst/>
        </a:prstGeom>
      </xdr:spPr>
    </xdr:pic>
    <xdr:clientData/>
  </xdr:twoCellAnchor>
  <xdr:twoCellAnchor>
    <xdr:from>
      <xdr:col>12</xdr:col>
      <xdr:colOff>0</xdr:colOff>
      <xdr:row>23</xdr:row>
      <xdr:rowOff>79376</xdr:rowOff>
    </xdr:from>
    <xdr:to>
      <xdr:col>12</xdr:col>
      <xdr:colOff>7282016</xdr:colOff>
      <xdr:row>34</xdr:row>
      <xdr:rowOff>71438</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10882313" y="4806157"/>
          <a:ext cx="7282016" cy="20875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dk1"/>
              </a:solidFill>
              <a:effectLst/>
              <a:latin typeface="+mn-lt"/>
              <a:ea typeface="+mn-ea"/>
              <a:cs typeface="+mn-cs"/>
            </a:rPr>
            <a:t>VS WEEK 39:</a:t>
          </a:r>
          <a:endParaRPr lang="en-US">
            <a:effectLst/>
          </a:endParaRPr>
        </a:p>
        <a:p>
          <a:r>
            <a:rPr lang="en-US" sz="1100">
              <a:solidFill>
                <a:schemeClr val="dk1"/>
              </a:solidFill>
              <a:effectLst/>
              <a:latin typeface="+mn-lt"/>
              <a:ea typeface="+mn-ea"/>
              <a:cs typeface="+mn-cs"/>
            </a:rPr>
            <a:t>-  Bolivia varía -1% debido</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al empeoramiento</a:t>
          </a:r>
          <a:r>
            <a:rPr lang="en-US" sz="1100" baseline="0">
              <a:solidFill>
                <a:schemeClr val="dk1"/>
              </a:solidFill>
              <a:effectLst/>
              <a:latin typeface="+mn-lt"/>
              <a:ea typeface="+mn-ea"/>
              <a:cs typeface="+mn-cs"/>
            </a:rPr>
            <a:t> del PBI</a:t>
          </a:r>
        </a:p>
        <a:p>
          <a:endParaRPr lang="en-US">
            <a:effectLst/>
          </a:endParaRPr>
        </a:p>
        <a:p>
          <a:r>
            <a:rPr lang="en-US" sz="1100">
              <a:solidFill>
                <a:schemeClr val="dk1"/>
              </a:solidFill>
              <a:effectLst/>
              <a:latin typeface="+mn-lt"/>
              <a:ea typeface="+mn-ea"/>
              <a:cs typeface="+mn-cs"/>
            </a:rPr>
            <a:t>- Economy se ve</a:t>
          </a:r>
          <a:r>
            <a:rPr lang="en-US" sz="1100" baseline="0">
              <a:solidFill>
                <a:schemeClr val="dk1"/>
              </a:solidFill>
              <a:effectLst/>
              <a:latin typeface="+mn-lt"/>
              <a:ea typeface="+mn-ea"/>
              <a:cs typeface="+mn-cs"/>
            </a:rPr>
            <a:t> fuertemente afectado debido a una variación respecto a la W39 de 3pp (pasó de -5.8 a -8.8% vs 2019), implicando 2.8MM de cajas menos</a:t>
          </a:r>
        </a:p>
        <a:p>
          <a:endParaRPr lang="en-US">
            <a:effectLst/>
          </a:endParaRPr>
        </a:p>
        <a:p>
          <a:r>
            <a:rPr lang="en-US" sz="1100" baseline="0">
              <a:solidFill>
                <a:schemeClr val="dk1"/>
              </a:solidFill>
              <a:effectLst/>
              <a:latin typeface="+mn-lt"/>
              <a:ea typeface="+mn-ea"/>
              <a:cs typeface="+mn-cs"/>
            </a:rPr>
            <a:t>- Weather actualiza el pronóstico anual de 0.9% visto en W39 a 1.6%, concentrando el cambio en octubre.</a:t>
          </a:r>
        </a:p>
        <a:p>
          <a:endParaRPr lang="en-US">
            <a:effectLst/>
          </a:endParaRPr>
        </a:p>
        <a:p>
          <a:pPr eaLnBrk="1" fontAlgn="auto" latinLnBrk="0" hangingPunct="1"/>
          <a:r>
            <a:rPr lang="en-US" sz="1100" b="1" baseline="0">
              <a:solidFill>
                <a:schemeClr val="dk1"/>
              </a:solidFill>
              <a:effectLst/>
              <a:latin typeface="+mn-lt"/>
              <a:ea typeface="+mn-ea"/>
              <a:cs typeface="+mn-cs"/>
            </a:rPr>
            <a:t>VS 2019:</a:t>
          </a:r>
          <a:endParaRPr lang="en-US">
            <a:effectLst/>
          </a:endParaRPr>
        </a:p>
        <a:p>
          <a:r>
            <a:rPr lang="en-US" sz="1100" baseline="0">
              <a:solidFill>
                <a:schemeClr val="dk1"/>
              </a:solidFill>
              <a:effectLst/>
              <a:latin typeface="+mn-lt"/>
              <a:ea typeface="+mn-ea"/>
              <a:cs typeface="+mn-cs"/>
            </a:rPr>
            <a:t>- Resulta una caída de 2.9% impulsado por la caída del PBI y el crecimiento en el precio</a:t>
          </a:r>
          <a:endParaRPr lang="en-US">
            <a:effectLst/>
          </a:endParaRPr>
        </a:p>
      </xdr:txBody>
    </xdr:sp>
    <xdr:clientData/>
  </xdr:twoCellAnchor>
  <xdr:twoCellAnchor>
    <xdr:from>
      <xdr:col>12</xdr:col>
      <xdr:colOff>0</xdr:colOff>
      <xdr:row>3</xdr:row>
      <xdr:rowOff>83346</xdr:rowOff>
    </xdr:from>
    <xdr:to>
      <xdr:col>12</xdr:col>
      <xdr:colOff>6810375</xdr:colOff>
      <xdr:row>15</xdr:row>
      <xdr:rowOff>166690</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10882313" y="988221"/>
          <a:ext cx="6810375" cy="238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VS</a:t>
          </a:r>
          <a:r>
            <a:rPr lang="en-US" sz="1100" b="1" baseline="0">
              <a:solidFill>
                <a:schemeClr val="dk1"/>
              </a:solidFill>
              <a:effectLst/>
              <a:latin typeface="+mn-lt"/>
              <a:ea typeface="+mn-ea"/>
              <a:cs typeface="+mn-cs"/>
            </a:rPr>
            <a:t> WEEK 43</a:t>
          </a:r>
          <a:r>
            <a:rPr lang="en-US" sz="1100" baseline="0">
              <a:solidFill>
                <a:schemeClr val="dk1"/>
              </a:solidFill>
              <a:effectLst/>
              <a:latin typeface="+mn-lt"/>
              <a:ea typeface="+mn-ea"/>
              <a:cs typeface="+mn-cs"/>
            </a:rPr>
            <a:t>:</a:t>
          </a:r>
          <a:endParaRPr lang="en-US">
            <a:effectLst/>
          </a:endParaRPr>
        </a:p>
        <a:p>
          <a:r>
            <a:rPr lang="en-US" sz="1100" baseline="0">
              <a:solidFill>
                <a:schemeClr val="dk1"/>
              </a:solidFill>
              <a:effectLst/>
              <a:latin typeface="+mn-lt"/>
              <a:ea typeface="+mn-ea"/>
              <a:cs typeface="+mn-cs"/>
            </a:rPr>
            <a:t>- Bolivia mantiene los mismos niveles de W43</a:t>
          </a:r>
        </a:p>
        <a:p>
          <a:endParaRPr lang="en-US">
            <a:effectLst/>
          </a:endParaRPr>
        </a:p>
        <a:p>
          <a:pPr eaLnBrk="1" fontAlgn="auto" latinLnBrk="0" hangingPunct="1"/>
          <a:r>
            <a:rPr lang="en-US" sz="1100">
              <a:solidFill>
                <a:schemeClr val="dk1"/>
              </a:solidFill>
              <a:effectLst/>
              <a:latin typeface="+mn-lt"/>
              <a:ea typeface="+mn-ea"/>
              <a:cs typeface="+mn-cs"/>
            </a:rPr>
            <a:t>- No hubo cambios en los buckets de</a:t>
          </a:r>
          <a:r>
            <a:rPr lang="en-US" sz="1100" baseline="0">
              <a:solidFill>
                <a:schemeClr val="dk1"/>
              </a:solidFill>
              <a:effectLst/>
              <a:latin typeface="+mn-lt"/>
              <a:ea typeface="+mn-ea"/>
              <a:cs typeface="+mn-cs"/>
            </a:rPr>
            <a:t> macroeconomía y calendar, así como tampoco en</a:t>
          </a:r>
          <a:r>
            <a:rPr lang="en-US" sz="1100">
              <a:solidFill>
                <a:schemeClr val="dk1"/>
              </a:solidFill>
              <a:effectLst/>
              <a:latin typeface="+mn-lt"/>
              <a:ea typeface="+mn-ea"/>
              <a:cs typeface="+mn-cs"/>
            </a:rPr>
            <a:t> las curvas de precios</a:t>
          </a:r>
          <a:r>
            <a:rPr lang="en-US" sz="1100" baseline="0">
              <a:solidFill>
                <a:schemeClr val="dk1"/>
              </a:solidFill>
              <a:effectLst/>
              <a:latin typeface="+mn-lt"/>
              <a:ea typeface="+mn-ea"/>
              <a:cs typeface="+mn-cs"/>
            </a:rPr>
            <a:t> ni en el GAP</a:t>
          </a:r>
        </a:p>
        <a:p>
          <a:pPr eaLnBrk="1" fontAlgn="auto" latinLnBrk="0" hangingPunct="1"/>
          <a:endParaRPr lang="en-US">
            <a:effectLst/>
          </a:endParaRPr>
        </a:p>
        <a:p>
          <a:r>
            <a:rPr lang="en-US" sz="1100" baseline="0">
              <a:solidFill>
                <a:schemeClr val="dk1"/>
              </a:solidFill>
              <a:effectLst/>
              <a:latin typeface="+mn-lt"/>
              <a:ea typeface="+mn-ea"/>
              <a:cs typeface="+mn-cs"/>
            </a:rPr>
            <a:t>- Weather actualiza el real de octubre y reproyecta noviembre mostrándolo más caluroso el último trimestre</a:t>
          </a:r>
        </a:p>
        <a:p>
          <a:endParaRPr lang="en-US" sz="1100" b="1" baseline="0">
            <a:solidFill>
              <a:schemeClr val="dk1"/>
            </a:solidFill>
            <a:effectLst/>
            <a:latin typeface="+mn-lt"/>
            <a:ea typeface="+mn-ea"/>
            <a:cs typeface="+mn-cs"/>
          </a:endParaRPr>
        </a:p>
        <a:p>
          <a:r>
            <a:rPr lang="en-US" sz="1100" b="1">
              <a:solidFill>
                <a:schemeClr val="dk1"/>
              </a:solidFill>
              <a:effectLst/>
              <a:latin typeface="+mn-lt"/>
              <a:ea typeface="+mn-ea"/>
              <a:cs typeface="+mn-cs"/>
            </a:rPr>
            <a:t>VERSUS 2019:</a:t>
          </a:r>
          <a:endParaRPr lang="en-US">
            <a:effectLst/>
          </a:endParaRPr>
        </a:p>
        <a:p>
          <a:r>
            <a:rPr lang="en-US" sz="1100">
              <a:solidFill>
                <a:schemeClr val="dk1"/>
              </a:solidFill>
              <a:effectLst/>
              <a:latin typeface="+mn-lt"/>
              <a:ea typeface="+mn-ea"/>
              <a:cs typeface="+mn-cs"/>
            </a:rPr>
            <a:t>- Respecto</a:t>
          </a:r>
          <a:r>
            <a:rPr lang="en-US" sz="1100" baseline="0">
              <a:solidFill>
                <a:schemeClr val="dk1"/>
              </a:solidFill>
              <a:effectLst/>
              <a:latin typeface="+mn-lt"/>
              <a:ea typeface="+mn-ea"/>
              <a:cs typeface="+mn-cs"/>
            </a:rPr>
            <a:t> al año anterior, </a:t>
          </a:r>
          <a:r>
            <a:rPr lang="en-US" sz="1100">
              <a:solidFill>
                <a:schemeClr val="dk1"/>
              </a:solidFill>
              <a:effectLst/>
              <a:latin typeface="+mn-lt"/>
              <a:ea typeface="+mn-ea"/>
              <a:cs typeface="+mn-cs"/>
            </a:rPr>
            <a:t>las</a:t>
          </a:r>
          <a:r>
            <a:rPr lang="en-US" sz="1100" baseline="0">
              <a:solidFill>
                <a:schemeClr val="dk1"/>
              </a:solidFill>
              <a:effectLst/>
              <a:latin typeface="+mn-lt"/>
              <a:ea typeface="+mn-ea"/>
              <a:cs typeface="+mn-cs"/>
            </a:rPr>
            <a:t> ventas caen 2.6% debido principalmente a la caída del PBI y el crecimiento en el precio</a:t>
          </a:r>
          <a:endParaRPr lang="en-US">
            <a:effectLst/>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195682</xdr:colOff>
      <xdr:row>0</xdr:row>
      <xdr:rowOff>59531</xdr:rowOff>
    </xdr:from>
    <xdr:to>
      <xdr:col>0</xdr:col>
      <xdr:colOff>581897</xdr:colOff>
      <xdr:row>0</xdr:row>
      <xdr:rowOff>365827</xdr:rowOff>
    </xdr:to>
    <xdr:pic macro="[1]!volver">
      <xdr:nvPicPr>
        <xdr:cNvPr id="2" name="Imagen 1">
          <a:hlinkClick xmlns:r="http://schemas.openxmlformats.org/officeDocument/2006/relationships" r:id="rId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5682" y="59531"/>
          <a:ext cx="386215" cy="306296"/>
        </a:xfrm>
        <a:prstGeom prst="rect">
          <a:avLst/>
        </a:prstGeom>
      </xdr:spPr>
    </xdr:pic>
    <xdr:clientData/>
  </xdr:twoCellAnchor>
  <xdr:twoCellAnchor editAs="oneCell">
    <xdr:from>
      <xdr:col>0</xdr:col>
      <xdr:colOff>1479540</xdr:colOff>
      <xdr:row>0</xdr:row>
      <xdr:rowOff>23812</xdr:rowOff>
    </xdr:from>
    <xdr:to>
      <xdr:col>0</xdr:col>
      <xdr:colOff>1860540</xdr:colOff>
      <xdr:row>0</xdr:row>
      <xdr:rowOff>403225</xdr:rowOff>
    </xdr:to>
    <xdr:pic>
      <xdr:nvPicPr>
        <xdr:cNvPr id="3" name="Imagen 2" descr="File:&lt;strong&gt;Home&lt;/strong&gt; &lt;strong&gt;Icon&lt;/strong&gt;.svg - Wikimedia Commons">
          <a:hlinkClick xmlns:r="http://schemas.openxmlformats.org/officeDocument/2006/relationships" r:id="rId3"/>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79540" y="23812"/>
          <a:ext cx="381000" cy="37941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66675</xdr:colOff>
      <xdr:row>0</xdr:row>
      <xdr:rowOff>38100</xdr:rowOff>
    </xdr:from>
    <xdr:to>
      <xdr:col>0</xdr:col>
      <xdr:colOff>452890</xdr:colOff>
      <xdr:row>1</xdr:row>
      <xdr:rowOff>22927</xdr:rowOff>
    </xdr:to>
    <xdr:pic macro="[1]!volver">
      <xdr:nvPicPr>
        <xdr:cNvPr id="2" name="Imagen 1">
          <a:hlinkClick xmlns:r="http://schemas.openxmlformats.org/officeDocument/2006/relationships" r:id="rId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86215" cy="306296"/>
        </a:xfrm>
        <a:prstGeom prst="rect">
          <a:avLst/>
        </a:prstGeom>
      </xdr:spPr>
    </xdr:pic>
    <xdr:clientData/>
  </xdr:twoCellAnchor>
  <xdr:twoCellAnchor>
    <xdr:from>
      <xdr:col>11</xdr:col>
      <xdr:colOff>923637</xdr:colOff>
      <xdr:row>23</xdr:row>
      <xdr:rowOff>72159</xdr:rowOff>
    </xdr:from>
    <xdr:to>
      <xdr:col>13</xdr:col>
      <xdr:colOff>0</xdr:colOff>
      <xdr:row>35</xdr:row>
      <xdr:rowOff>158750</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11126932" y="4719204"/>
          <a:ext cx="5844886" cy="23379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100" b="1" baseline="0">
              <a:solidFill>
                <a:schemeClr val="dk1"/>
              </a:solidFill>
              <a:effectLst/>
              <a:latin typeface="+mn-lt"/>
              <a:ea typeface="+mn-ea"/>
              <a:cs typeface="+mn-cs"/>
            </a:rPr>
            <a:t>VS WEEK 39:</a:t>
          </a:r>
          <a:endParaRPr lang="en-US">
            <a:effectLst/>
          </a:endParaRPr>
        </a:p>
        <a:p>
          <a:r>
            <a:rPr lang="en-US" sz="1100" baseline="0">
              <a:solidFill>
                <a:schemeClr val="dk1"/>
              </a:solidFill>
              <a:effectLst/>
              <a:latin typeface="+mn-lt"/>
              <a:ea typeface="+mn-ea"/>
              <a:cs typeface="+mn-cs"/>
            </a:rPr>
            <a:t>-  Economy muestra una mejora del 3% basado en una leve disminución del desempleo que genera 400mil cajas más</a:t>
          </a:r>
          <a:endParaRPr lang="en-US">
            <a:effectLst/>
          </a:endParaRPr>
        </a:p>
        <a:p>
          <a:r>
            <a:rPr lang="en-US" sz="1100" baseline="0">
              <a:solidFill>
                <a:schemeClr val="dk1"/>
              </a:solidFill>
              <a:effectLst/>
              <a:latin typeface="+mn-lt"/>
              <a:ea typeface="+mn-ea"/>
              <a:cs typeface="+mn-cs"/>
            </a:rPr>
            <a:t>-  En Chile no hubo cambios previstos en la curva de precios lo que sumado a un aumento salarial,  generó una caída en el precio real que se traduce en una suba de 700mil cajas</a:t>
          </a:r>
          <a:endParaRPr lang="en-US">
            <a:effectLst/>
          </a:endParaRPr>
        </a:p>
        <a:p>
          <a:r>
            <a:rPr lang="en-US" sz="1100" baseline="0">
              <a:solidFill>
                <a:schemeClr val="dk1"/>
              </a:solidFill>
              <a:effectLst/>
              <a:latin typeface="+mn-lt"/>
              <a:ea typeface="+mn-ea"/>
              <a:cs typeface="+mn-cs"/>
            </a:rPr>
            <a:t>- En Competitividad no hubo cambios, puesto que el GAP no varió</a:t>
          </a:r>
          <a:endParaRPr lang="en-US">
            <a:effectLst/>
          </a:endParaRPr>
        </a:p>
        <a:p>
          <a:pPr eaLnBrk="1" fontAlgn="auto" latinLnBrk="0" hangingPunct="1"/>
          <a:r>
            <a:rPr lang="en-US" sz="1100" b="1">
              <a:solidFill>
                <a:schemeClr val="dk1"/>
              </a:solidFill>
              <a:effectLst/>
              <a:latin typeface="+mn-lt"/>
              <a:ea typeface="+mn-ea"/>
              <a:cs typeface="+mn-cs"/>
            </a:rPr>
            <a:t>- </a:t>
          </a:r>
          <a:r>
            <a:rPr lang="en-US" sz="1100" b="0">
              <a:solidFill>
                <a:schemeClr val="dk1"/>
              </a:solidFill>
              <a:effectLst/>
              <a:latin typeface="+mn-lt"/>
              <a:ea typeface="+mn-ea"/>
              <a:cs typeface="+mn-cs"/>
            </a:rPr>
            <a:t>Weather</a:t>
          </a:r>
          <a:r>
            <a:rPr lang="en-US" sz="1100" b="0" baseline="0">
              <a:solidFill>
                <a:schemeClr val="dk1"/>
              </a:solidFill>
              <a:effectLst/>
              <a:latin typeface="+mn-lt"/>
              <a:ea typeface="+mn-ea"/>
              <a:cs typeface="+mn-cs"/>
            </a:rPr>
            <a:t> actualiza un octubre más frío de lo esperado y reproyecta octubre y noviembre más frios, afectando negativamente en -1.3MM de cajas</a:t>
          </a:r>
          <a:endParaRPr lang="en-US" sz="1100" b="1">
            <a:solidFill>
              <a:schemeClr val="dk1"/>
            </a:solidFill>
            <a:effectLst/>
            <a:latin typeface="+mn-lt"/>
            <a:ea typeface="+mn-ea"/>
            <a:cs typeface="+mn-cs"/>
          </a:endParaRPr>
        </a:p>
        <a:p>
          <a:pPr eaLnBrk="1" fontAlgn="auto" latinLnBrk="0" hangingPunct="1"/>
          <a:endParaRPr lang="en-US" sz="1100" b="1">
            <a:solidFill>
              <a:schemeClr val="dk1"/>
            </a:solidFill>
            <a:effectLst/>
            <a:latin typeface="+mn-lt"/>
            <a:ea typeface="+mn-ea"/>
            <a:cs typeface="+mn-cs"/>
          </a:endParaRPr>
        </a:p>
        <a:p>
          <a:pPr eaLnBrk="1" fontAlgn="auto" latinLnBrk="0" hangingPunct="1"/>
          <a:r>
            <a:rPr lang="en-US" sz="1100" b="1">
              <a:solidFill>
                <a:schemeClr val="dk1"/>
              </a:solidFill>
              <a:effectLst/>
              <a:latin typeface="+mn-lt"/>
              <a:ea typeface="+mn-ea"/>
              <a:cs typeface="+mn-cs"/>
            </a:rPr>
            <a:t>VS 2019:</a:t>
          </a:r>
          <a:endParaRPr lang="en-US">
            <a:effectLst/>
          </a:endParaRPr>
        </a:p>
        <a:p>
          <a:r>
            <a:rPr lang="en-US" sz="1100">
              <a:solidFill>
                <a:schemeClr val="dk1"/>
              </a:solidFill>
              <a:effectLst/>
              <a:latin typeface="+mn-lt"/>
              <a:ea typeface="+mn-ea"/>
              <a:cs typeface="+mn-cs"/>
            </a:rPr>
            <a:t>-  Chile cae -4%, impulsado por Competitividad, Economy y reproyecciones de</a:t>
          </a:r>
          <a:r>
            <a:rPr lang="en-US" sz="1100" baseline="0">
              <a:solidFill>
                <a:schemeClr val="dk1"/>
              </a:solidFill>
              <a:effectLst/>
              <a:latin typeface="+mn-lt"/>
              <a:ea typeface="+mn-ea"/>
              <a:cs typeface="+mn-cs"/>
            </a:rPr>
            <a:t> Weather</a:t>
          </a:r>
          <a:endParaRPr lang="en-US">
            <a:effectLst/>
          </a:endParaRPr>
        </a:p>
        <a:p>
          <a:endParaRPr lang="en-US" sz="1200"/>
        </a:p>
      </xdr:txBody>
    </xdr:sp>
    <xdr:clientData/>
  </xdr:twoCellAnchor>
  <xdr:twoCellAnchor>
    <xdr:from>
      <xdr:col>12</xdr:col>
      <xdr:colOff>-1</xdr:colOff>
      <xdr:row>3</xdr:row>
      <xdr:rowOff>83344</xdr:rowOff>
    </xdr:from>
    <xdr:to>
      <xdr:col>13</xdr:col>
      <xdr:colOff>0</xdr:colOff>
      <xdr:row>15</xdr:row>
      <xdr:rowOff>178594</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11120437" y="988219"/>
          <a:ext cx="6715125" cy="238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VS</a:t>
          </a:r>
          <a:r>
            <a:rPr lang="en-US" sz="1100" b="1" baseline="0">
              <a:solidFill>
                <a:schemeClr val="dk1"/>
              </a:solidFill>
              <a:effectLst/>
              <a:latin typeface="+mn-lt"/>
              <a:ea typeface="+mn-ea"/>
              <a:cs typeface="+mn-cs"/>
            </a:rPr>
            <a:t> WEEK 43</a:t>
          </a:r>
          <a:r>
            <a:rPr lang="en-US" sz="1100" baseline="0">
              <a:solidFill>
                <a:schemeClr val="dk1"/>
              </a:solidFill>
              <a:effectLst/>
              <a:latin typeface="+mn-lt"/>
              <a:ea typeface="+mn-ea"/>
              <a:cs typeface="+mn-cs"/>
            </a:rPr>
            <a:t>:</a:t>
          </a:r>
          <a:endParaRPr lang="en-US">
            <a:effectLst/>
          </a:endParaRPr>
        </a:p>
        <a:p>
          <a:r>
            <a:rPr lang="en-US" sz="1100" baseline="0">
              <a:solidFill>
                <a:schemeClr val="dk1"/>
              </a:solidFill>
              <a:effectLst/>
              <a:latin typeface="+mn-lt"/>
              <a:ea typeface="+mn-ea"/>
              <a:cs typeface="+mn-cs"/>
            </a:rPr>
            <a:t>- Las ventas en Chile mantiene los niveles de la corrida anterior</a:t>
          </a:r>
        </a:p>
        <a:p>
          <a:endParaRPr lang="en-US">
            <a:effectLst/>
          </a:endParaRPr>
        </a:p>
        <a:p>
          <a:pPr eaLnBrk="1" fontAlgn="auto" latinLnBrk="0" hangingPunct="1"/>
          <a:r>
            <a:rPr lang="en-US" sz="1100">
              <a:solidFill>
                <a:schemeClr val="dk1"/>
              </a:solidFill>
              <a:effectLst/>
              <a:latin typeface="+mn-lt"/>
              <a:ea typeface="+mn-ea"/>
              <a:cs typeface="+mn-cs"/>
            </a:rPr>
            <a:t>- Se agregan dos aumentos  en noviembre y diciembre en la curva de precios, sin embargo un aumento de en el salario netea</a:t>
          </a:r>
          <a:r>
            <a:rPr lang="en-US" sz="1100" baseline="0">
              <a:solidFill>
                <a:schemeClr val="dk1"/>
              </a:solidFill>
              <a:effectLst/>
              <a:latin typeface="+mn-lt"/>
              <a:ea typeface="+mn-ea"/>
              <a:cs typeface="+mn-cs"/>
            </a:rPr>
            <a:t> el efecto en el modelo</a:t>
          </a:r>
        </a:p>
        <a:p>
          <a:pPr eaLnBrk="1" fontAlgn="auto" latinLnBrk="0" hangingPunct="1"/>
          <a:endParaRPr lang="en-US" sz="1100" baseline="0">
            <a:solidFill>
              <a:schemeClr val="dk1"/>
            </a:solidFill>
            <a:effectLst/>
            <a:latin typeface="+mn-lt"/>
            <a:ea typeface="+mn-ea"/>
            <a:cs typeface="+mn-cs"/>
          </a:endParaRPr>
        </a:p>
        <a:p>
          <a:pPr eaLnBrk="1" fontAlgn="auto" latinLnBrk="0" hangingPunct="1"/>
          <a:r>
            <a:rPr lang="en-US" sz="1100" baseline="0">
              <a:solidFill>
                <a:schemeClr val="dk1"/>
              </a:solidFill>
              <a:effectLst/>
              <a:latin typeface="+mn-lt"/>
              <a:ea typeface="+mn-ea"/>
              <a:cs typeface="+mn-cs"/>
            </a:rPr>
            <a:t>- La modificación en la curva generó un pequeño aumento en el gap a fin de año que impacto en una caída de 174K en cajas</a:t>
          </a:r>
        </a:p>
        <a:p>
          <a:pPr eaLnBrk="1" fontAlgn="auto" latinLnBrk="0" hangingPunct="1"/>
          <a:endParaRPr lang="en-US">
            <a:effectLst/>
          </a:endParaRPr>
        </a:p>
        <a:p>
          <a:r>
            <a:rPr lang="en-US" sz="1100" baseline="0">
              <a:solidFill>
                <a:schemeClr val="dk1"/>
              </a:solidFill>
              <a:effectLst/>
              <a:latin typeface="+mn-lt"/>
              <a:ea typeface="+mn-ea"/>
              <a:cs typeface="+mn-cs"/>
            </a:rPr>
            <a:t>- Weather reproyecta noviembre y diciembre mas caluroso que en W43</a:t>
          </a:r>
        </a:p>
        <a:p>
          <a:endParaRPr lang="en-US" sz="1100" b="1" baseline="0">
            <a:solidFill>
              <a:schemeClr val="dk1"/>
            </a:solidFill>
            <a:effectLst/>
            <a:latin typeface="+mn-lt"/>
            <a:ea typeface="+mn-ea"/>
            <a:cs typeface="+mn-cs"/>
          </a:endParaRPr>
        </a:p>
        <a:p>
          <a:r>
            <a:rPr lang="en-US" sz="1100" b="1">
              <a:solidFill>
                <a:schemeClr val="dk1"/>
              </a:solidFill>
              <a:effectLst/>
              <a:latin typeface="+mn-lt"/>
              <a:ea typeface="+mn-ea"/>
              <a:cs typeface="+mn-cs"/>
            </a:rPr>
            <a:t>VERSUS 2019:</a:t>
          </a:r>
          <a:endParaRPr lang="en-US">
            <a:effectLst/>
          </a:endParaRPr>
        </a:p>
        <a:p>
          <a:r>
            <a:rPr lang="en-US" sz="1100">
              <a:solidFill>
                <a:schemeClr val="dk1"/>
              </a:solidFill>
              <a:effectLst/>
              <a:latin typeface="+mn-lt"/>
              <a:ea typeface="+mn-ea"/>
              <a:cs typeface="+mn-cs"/>
            </a:rPr>
            <a:t>- Respecto</a:t>
          </a:r>
          <a:r>
            <a:rPr lang="en-US" sz="1100" baseline="0">
              <a:solidFill>
                <a:schemeClr val="dk1"/>
              </a:solidFill>
              <a:effectLst/>
              <a:latin typeface="+mn-lt"/>
              <a:ea typeface="+mn-ea"/>
              <a:cs typeface="+mn-cs"/>
            </a:rPr>
            <a:t> al año anterior, </a:t>
          </a:r>
          <a:r>
            <a:rPr lang="en-US" sz="1100">
              <a:solidFill>
                <a:schemeClr val="dk1"/>
              </a:solidFill>
              <a:effectLst/>
              <a:latin typeface="+mn-lt"/>
              <a:ea typeface="+mn-ea"/>
              <a:cs typeface="+mn-cs"/>
            </a:rPr>
            <a:t>las</a:t>
          </a:r>
          <a:r>
            <a:rPr lang="en-US" sz="1100" baseline="0">
              <a:solidFill>
                <a:schemeClr val="dk1"/>
              </a:solidFill>
              <a:effectLst/>
              <a:latin typeface="+mn-lt"/>
              <a:ea typeface="+mn-ea"/>
              <a:cs typeface="+mn-cs"/>
            </a:rPr>
            <a:t> ventas caen 4% debido principalmente al aumento de la inflación y del desempleo</a:t>
          </a:r>
          <a:endParaRPr lang="en-US">
            <a:effectLst/>
          </a:endParaRP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261937</xdr:colOff>
      <xdr:row>0</xdr:row>
      <xdr:rowOff>59531</xdr:rowOff>
    </xdr:from>
    <xdr:to>
      <xdr:col>0</xdr:col>
      <xdr:colOff>648152</xdr:colOff>
      <xdr:row>0</xdr:row>
      <xdr:rowOff>365827</xdr:rowOff>
    </xdr:to>
    <xdr:pic macro="[1]!volver">
      <xdr:nvPicPr>
        <xdr:cNvPr id="2" name="Imagen 1">
          <a:hlinkClick xmlns:r="http://schemas.openxmlformats.org/officeDocument/2006/relationships" r:id="rId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1937" y="59531"/>
          <a:ext cx="386215" cy="306296"/>
        </a:xfrm>
        <a:prstGeom prst="rect">
          <a:avLst/>
        </a:prstGeom>
      </xdr:spPr>
    </xdr:pic>
    <xdr:clientData/>
  </xdr:twoCellAnchor>
  <xdr:twoCellAnchor editAs="oneCell">
    <xdr:from>
      <xdr:col>0</xdr:col>
      <xdr:colOff>1491448</xdr:colOff>
      <xdr:row>0</xdr:row>
      <xdr:rowOff>23812</xdr:rowOff>
    </xdr:from>
    <xdr:to>
      <xdr:col>0</xdr:col>
      <xdr:colOff>1872448</xdr:colOff>
      <xdr:row>0</xdr:row>
      <xdr:rowOff>403225</xdr:rowOff>
    </xdr:to>
    <xdr:pic>
      <xdr:nvPicPr>
        <xdr:cNvPr id="3" name="Imagen 2" descr="File:&lt;strong&gt;Home&lt;/strong&gt; &lt;strong&gt;Icon&lt;/strong&gt;.svg - Wikimedia Commons">
          <a:hlinkClick xmlns:r="http://schemas.openxmlformats.org/officeDocument/2006/relationships" r:id="rId3"/>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91448" y="23812"/>
          <a:ext cx="381000" cy="37941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85725</xdr:colOff>
      <xdr:row>0</xdr:row>
      <xdr:rowOff>28575</xdr:rowOff>
    </xdr:from>
    <xdr:to>
      <xdr:col>0</xdr:col>
      <xdr:colOff>471940</xdr:colOff>
      <xdr:row>1</xdr:row>
      <xdr:rowOff>1496</xdr:rowOff>
    </xdr:to>
    <xdr:pic macro="[1]!volver">
      <xdr:nvPicPr>
        <xdr:cNvPr id="2" name="Imagen 1">
          <a:hlinkClick xmlns:r="http://schemas.openxmlformats.org/officeDocument/2006/relationships" r:id="rId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5725" y="28575"/>
          <a:ext cx="386215" cy="306296"/>
        </a:xfrm>
        <a:prstGeom prst="rect">
          <a:avLst/>
        </a:prstGeom>
      </xdr:spPr>
    </xdr:pic>
    <xdr:clientData/>
  </xdr:twoCellAnchor>
  <xdr:twoCellAnchor>
    <xdr:from>
      <xdr:col>12</xdr:col>
      <xdr:colOff>0</xdr:colOff>
      <xdr:row>25</xdr:row>
      <xdr:rowOff>57728</xdr:rowOff>
    </xdr:from>
    <xdr:to>
      <xdr:col>13</xdr:col>
      <xdr:colOff>0</xdr:colOff>
      <xdr:row>32</xdr:row>
      <xdr:rowOff>154781</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11691938" y="5153603"/>
          <a:ext cx="7351206" cy="14305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100" b="1" baseline="0">
              <a:solidFill>
                <a:schemeClr val="dk1"/>
              </a:solidFill>
              <a:effectLst/>
              <a:latin typeface="+mn-lt"/>
              <a:ea typeface="+mn-ea"/>
              <a:cs typeface="+mn-cs"/>
            </a:rPr>
            <a:t>VS WEEK 39</a:t>
          </a:r>
          <a:endParaRPr lang="en-US">
            <a:effectLst/>
          </a:endParaRPr>
        </a:p>
        <a:p>
          <a:r>
            <a:rPr lang="en-US" sz="1100" baseline="0">
              <a:solidFill>
                <a:schemeClr val="dk1"/>
              </a:solidFill>
              <a:effectLst/>
              <a:latin typeface="+mn-lt"/>
              <a:ea typeface="+mn-ea"/>
              <a:cs typeface="+mn-cs"/>
            </a:rPr>
            <a:t>- Los niveles se mantienen respectgo a la corrida anterior, puesto que no hubo variaciones en las variables exógenas, excepto un leve aumento de temperatura en el pronóstico de octubre, mostrándolo más caluroso</a:t>
          </a:r>
          <a:endParaRPr lang="en-US">
            <a:effectLst/>
          </a:endParaRPr>
        </a:p>
        <a:p>
          <a:pPr eaLnBrk="1" fontAlgn="auto" latinLnBrk="0" hangingPunct="1"/>
          <a:r>
            <a:rPr lang="en-US" sz="1100" b="1" baseline="0">
              <a:solidFill>
                <a:schemeClr val="dk1"/>
              </a:solidFill>
              <a:effectLst/>
              <a:latin typeface="+mn-lt"/>
              <a:ea typeface="+mn-ea"/>
              <a:cs typeface="+mn-cs"/>
            </a:rPr>
            <a:t>VS 2019</a:t>
          </a:r>
          <a:endParaRPr lang="en-US">
            <a:effectLst/>
          </a:endParaRPr>
        </a:p>
        <a:p>
          <a:pPr eaLnBrk="1" fontAlgn="auto" latinLnBrk="0" hangingPunct="1"/>
          <a:r>
            <a:rPr lang="en-US" sz="1100">
              <a:solidFill>
                <a:schemeClr val="dk1"/>
              </a:solidFill>
              <a:effectLst/>
              <a:latin typeface="+mn-lt"/>
              <a:ea typeface="+mn-ea"/>
              <a:cs typeface="+mn-cs"/>
            </a:rPr>
            <a:t>-  Perú cae 6.6% debido a la situación macroeconómica</a:t>
          </a:r>
          <a:r>
            <a:rPr lang="en-US" sz="1100" baseline="0">
              <a:solidFill>
                <a:schemeClr val="dk1"/>
              </a:solidFill>
              <a:effectLst/>
              <a:latin typeface="+mn-lt"/>
              <a:ea typeface="+mn-ea"/>
              <a:cs typeface="+mn-cs"/>
            </a:rPr>
            <a:t>, por una caída del PBI del 11% y 5% menos en salarios</a:t>
          </a:r>
          <a:endParaRPr lang="en-US">
            <a:effectLst/>
          </a:endParaRPr>
        </a:p>
        <a:p>
          <a:endParaRPr lang="en-US" sz="1200"/>
        </a:p>
      </xdr:txBody>
    </xdr:sp>
    <xdr:clientData/>
  </xdr:twoCellAnchor>
  <xdr:twoCellAnchor>
    <xdr:from>
      <xdr:col>11</xdr:col>
      <xdr:colOff>1059657</xdr:colOff>
      <xdr:row>3</xdr:row>
      <xdr:rowOff>71437</xdr:rowOff>
    </xdr:from>
    <xdr:to>
      <xdr:col>13</xdr:col>
      <xdr:colOff>0</xdr:colOff>
      <xdr:row>15</xdr:row>
      <xdr:rowOff>166687</xdr:rowOff>
    </xdr:to>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11680032" y="976312"/>
          <a:ext cx="7334249" cy="238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VS</a:t>
          </a:r>
          <a:r>
            <a:rPr lang="en-US" sz="1100" b="1" baseline="0">
              <a:solidFill>
                <a:schemeClr val="dk1"/>
              </a:solidFill>
              <a:effectLst/>
              <a:latin typeface="+mn-lt"/>
              <a:ea typeface="+mn-ea"/>
              <a:cs typeface="+mn-cs"/>
            </a:rPr>
            <a:t> WEEK 43</a:t>
          </a:r>
          <a:r>
            <a:rPr lang="en-US" sz="1100" baseline="0">
              <a:solidFill>
                <a:schemeClr val="dk1"/>
              </a:solidFill>
              <a:effectLst/>
              <a:latin typeface="+mn-lt"/>
              <a:ea typeface="+mn-ea"/>
              <a:cs typeface="+mn-cs"/>
            </a:rPr>
            <a:t>:</a:t>
          </a:r>
          <a:endParaRPr lang="en-US">
            <a:effectLst/>
          </a:endParaRPr>
        </a:p>
        <a:p>
          <a:r>
            <a:rPr lang="en-US" sz="1100" baseline="0">
              <a:solidFill>
                <a:schemeClr val="dk1"/>
              </a:solidFill>
              <a:effectLst/>
              <a:latin typeface="+mn-lt"/>
              <a:ea typeface="+mn-ea"/>
              <a:cs typeface="+mn-cs"/>
            </a:rPr>
            <a:t>- Las ventas en Perú caen 1.3MM cajas generado en parte por Affordability y por Weather. </a:t>
          </a:r>
        </a:p>
        <a:p>
          <a:endParaRPr lang="en-US">
            <a:effectLst/>
          </a:endParaRPr>
        </a:p>
        <a:p>
          <a:pPr eaLnBrk="1" fontAlgn="auto" latinLnBrk="0" hangingPunct="1"/>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Si bien la curva de precios se mantuvo, una mayor caída de los salarios generó un aumento del precio real restando 500K cajas. Con la última actualización de Datos Económicos el Salario empeora casi un 10% mas en el último cuatrimestre del año que la proyección anterior</a:t>
          </a:r>
        </a:p>
        <a:p>
          <a:pPr eaLnBrk="1" fontAlgn="auto" latinLnBrk="0" hangingPunct="1"/>
          <a:endParaRPr lang="en-US" sz="1100" baseline="0">
            <a:solidFill>
              <a:schemeClr val="dk1"/>
            </a:solidFill>
            <a:effectLst/>
            <a:latin typeface="+mn-lt"/>
            <a:ea typeface="+mn-ea"/>
            <a:cs typeface="+mn-cs"/>
          </a:endParaRPr>
        </a:p>
        <a:p>
          <a:pPr eaLnBrk="1" fontAlgn="auto" latinLnBrk="0" hangingPunct="1"/>
          <a:r>
            <a:rPr lang="en-US" sz="1100" baseline="0">
              <a:solidFill>
                <a:schemeClr val="dk1"/>
              </a:solidFill>
              <a:effectLst/>
              <a:latin typeface="+mn-lt"/>
              <a:ea typeface="+mn-ea"/>
              <a:cs typeface="+mn-cs"/>
            </a:rPr>
            <a:t>- No hay cambios en Precios y GAP</a:t>
          </a:r>
        </a:p>
        <a:p>
          <a:pPr eaLnBrk="1" fontAlgn="auto" latinLnBrk="0" hangingPunct="1"/>
          <a:endParaRPr lang="en-US">
            <a:effectLst/>
          </a:endParaRPr>
        </a:p>
        <a:p>
          <a:r>
            <a:rPr lang="en-US" sz="1100" baseline="0">
              <a:solidFill>
                <a:schemeClr val="dk1"/>
              </a:solidFill>
              <a:effectLst/>
              <a:latin typeface="+mn-lt"/>
              <a:ea typeface="+mn-ea"/>
              <a:cs typeface="+mn-cs"/>
            </a:rPr>
            <a:t>- Weather actualiza el real de octubre, siendo ahora mas frío y afectando en una caída de 500K cajas</a:t>
          </a:r>
        </a:p>
        <a:p>
          <a:endParaRPr lang="en-US" sz="1100" b="1" baseline="0">
            <a:solidFill>
              <a:schemeClr val="dk1"/>
            </a:solidFill>
            <a:effectLst/>
            <a:latin typeface="+mn-lt"/>
            <a:ea typeface="+mn-ea"/>
            <a:cs typeface="+mn-cs"/>
          </a:endParaRPr>
        </a:p>
        <a:p>
          <a:r>
            <a:rPr lang="en-US" sz="1100" b="1">
              <a:solidFill>
                <a:schemeClr val="dk1"/>
              </a:solidFill>
              <a:effectLst/>
              <a:latin typeface="+mn-lt"/>
              <a:ea typeface="+mn-ea"/>
              <a:cs typeface="+mn-cs"/>
            </a:rPr>
            <a:t>VERSUS 2019:</a:t>
          </a:r>
          <a:endParaRPr lang="en-US">
            <a:effectLst/>
          </a:endParaRPr>
        </a:p>
        <a:p>
          <a:r>
            <a:rPr lang="en-US" sz="1100">
              <a:solidFill>
                <a:schemeClr val="dk1"/>
              </a:solidFill>
              <a:effectLst/>
              <a:latin typeface="+mn-lt"/>
              <a:ea typeface="+mn-ea"/>
              <a:cs typeface="+mn-cs"/>
            </a:rPr>
            <a:t>- Respecto</a:t>
          </a:r>
          <a:r>
            <a:rPr lang="en-US" sz="1100" baseline="0">
              <a:solidFill>
                <a:schemeClr val="dk1"/>
              </a:solidFill>
              <a:effectLst/>
              <a:latin typeface="+mn-lt"/>
              <a:ea typeface="+mn-ea"/>
              <a:cs typeface="+mn-cs"/>
            </a:rPr>
            <a:t> al año anterior, </a:t>
          </a:r>
          <a:r>
            <a:rPr lang="en-US" sz="1100">
              <a:solidFill>
                <a:schemeClr val="dk1"/>
              </a:solidFill>
              <a:effectLst/>
              <a:latin typeface="+mn-lt"/>
              <a:ea typeface="+mn-ea"/>
              <a:cs typeface="+mn-cs"/>
            </a:rPr>
            <a:t>las</a:t>
          </a:r>
          <a:r>
            <a:rPr lang="en-US" sz="1100" baseline="0">
              <a:solidFill>
                <a:schemeClr val="dk1"/>
              </a:solidFill>
              <a:effectLst/>
              <a:latin typeface="+mn-lt"/>
              <a:ea typeface="+mn-ea"/>
              <a:cs typeface="+mn-cs"/>
            </a:rPr>
            <a:t> ventas caen un 7% por Affordabilty y Economy</a:t>
          </a:r>
          <a:endParaRPr lang="en-US">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255214</xdr:colOff>
      <xdr:row>0</xdr:row>
      <xdr:rowOff>71437</xdr:rowOff>
    </xdr:from>
    <xdr:to>
      <xdr:col>0</xdr:col>
      <xdr:colOff>641429</xdr:colOff>
      <xdr:row>0</xdr:row>
      <xdr:rowOff>377733</xdr:rowOff>
    </xdr:to>
    <xdr:pic macro="[1]!volver">
      <xdr:nvPicPr>
        <xdr:cNvPr id="2" name="Imagen 1">
          <a:hlinkClick xmlns:r="http://schemas.openxmlformats.org/officeDocument/2006/relationships" r:id="rId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5214" y="71437"/>
          <a:ext cx="386215" cy="306296"/>
        </a:xfrm>
        <a:prstGeom prst="rect">
          <a:avLst/>
        </a:prstGeom>
      </xdr:spPr>
    </xdr:pic>
    <xdr:clientData/>
  </xdr:twoCellAnchor>
  <xdr:twoCellAnchor editAs="oneCell">
    <xdr:from>
      <xdr:col>0</xdr:col>
      <xdr:colOff>1539078</xdr:colOff>
      <xdr:row>0</xdr:row>
      <xdr:rowOff>35718</xdr:rowOff>
    </xdr:from>
    <xdr:to>
      <xdr:col>0</xdr:col>
      <xdr:colOff>1920078</xdr:colOff>
      <xdr:row>0</xdr:row>
      <xdr:rowOff>415131</xdr:rowOff>
    </xdr:to>
    <xdr:pic>
      <xdr:nvPicPr>
        <xdr:cNvPr id="3" name="Imagen 2" descr="File:&lt;strong&gt;Home&lt;/strong&gt; &lt;strong&gt;Icon&lt;/strong&gt;.svg - Wikimedia Commons">
          <a:hlinkClick xmlns:r="http://schemas.openxmlformats.org/officeDocument/2006/relationships" r:id="rId3"/>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39078" y="35718"/>
          <a:ext cx="381000" cy="37941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142875</xdr:colOff>
      <xdr:row>0</xdr:row>
      <xdr:rowOff>76200</xdr:rowOff>
    </xdr:from>
    <xdr:to>
      <xdr:col>0</xdr:col>
      <xdr:colOff>529090</xdr:colOff>
      <xdr:row>2</xdr:row>
      <xdr:rowOff>1496</xdr:rowOff>
    </xdr:to>
    <xdr:pic macro="[1]!volver">
      <xdr:nvPicPr>
        <xdr:cNvPr id="2" name="Imagen 1">
          <a:hlinkClick xmlns:r="http://schemas.openxmlformats.org/officeDocument/2006/relationships" r:id="rId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2875" y="76200"/>
          <a:ext cx="386215" cy="306296"/>
        </a:xfrm>
        <a:prstGeom prst="rect">
          <a:avLst/>
        </a:prstGeom>
      </xdr:spPr>
    </xdr:pic>
    <xdr:clientData/>
  </xdr:twoCellAnchor>
  <xdr:twoCellAnchor>
    <xdr:from>
      <xdr:col>12</xdr:col>
      <xdr:colOff>0</xdr:colOff>
      <xdr:row>26</xdr:row>
      <xdr:rowOff>57728</xdr:rowOff>
    </xdr:from>
    <xdr:to>
      <xdr:col>13</xdr:col>
      <xdr:colOff>0</xdr:colOff>
      <xdr:row>33</xdr:row>
      <xdr:rowOff>154781</xdr:rowOff>
    </xdr:to>
    <xdr:sp macro="" textlink="">
      <xdr:nvSpPr>
        <xdr:cNvPr id="5" name="TextBox 3">
          <a:extLst>
            <a:ext uri="{FF2B5EF4-FFF2-40B4-BE49-F238E27FC236}">
              <a16:creationId xmlns:a16="http://schemas.microsoft.com/office/drawing/2014/main" id="{00000000-0008-0000-1000-000005000000}"/>
            </a:ext>
          </a:extLst>
        </xdr:cNvPr>
        <xdr:cNvSpPr txBox="1"/>
      </xdr:nvSpPr>
      <xdr:spPr>
        <a:xfrm>
          <a:off x="12706350" y="5725103"/>
          <a:ext cx="7324725" cy="14305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100" b="1" baseline="0">
              <a:solidFill>
                <a:schemeClr val="dk1"/>
              </a:solidFill>
              <a:effectLst/>
              <a:latin typeface="+mn-lt"/>
              <a:ea typeface="+mn-ea"/>
              <a:cs typeface="+mn-cs"/>
            </a:rPr>
            <a:t>VS WEEK 39</a:t>
          </a:r>
          <a:endParaRPr lang="en-US">
            <a:effectLst/>
          </a:endParaRPr>
        </a:p>
        <a:p>
          <a:r>
            <a:rPr lang="en-US" sz="1100" baseline="0">
              <a:solidFill>
                <a:schemeClr val="dk1"/>
              </a:solidFill>
              <a:effectLst/>
              <a:latin typeface="+mn-lt"/>
              <a:ea typeface="+mn-ea"/>
              <a:cs typeface="+mn-cs"/>
            </a:rPr>
            <a:t>- Los niveles se mantienen respectgo a la corrida anterior, puesto que no hubo variaciones en las variables exógenas, excepto un leve aumento de temperatura en el pronóstico de octubre, mostrándolo más caluroso</a:t>
          </a:r>
          <a:endParaRPr lang="en-US">
            <a:effectLst/>
          </a:endParaRPr>
        </a:p>
        <a:p>
          <a:pPr eaLnBrk="1" fontAlgn="auto" latinLnBrk="0" hangingPunct="1"/>
          <a:r>
            <a:rPr lang="en-US" sz="1100" b="1" baseline="0">
              <a:solidFill>
                <a:schemeClr val="dk1"/>
              </a:solidFill>
              <a:effectLst/>
              <a:latin typeface="+mn-lt"/>
              <a:ea typeface="+mn-ea"/>
              <a:cs typeface="+mn-cs"/>
            </a:rPr>
            <a:t>VS 2019</a:t>
          </a:r>
          <a:endParaRPr lang="en-US">
            <a:effectLst/>
          </a:endParaRPr>
        </a:p>
        <a:p>
          <a:pPr eaLnBrk="1" fontAlgn="auto" latinLnBrk="0" hangingPunct="1"/>
          <a:r>
            <a:rPr lang="en-US" sz="1100">
              <a:solidFill>
                <a:schemeClr val="dk1"/>
              </a:solidFill>
              <a:effectLst/>
              <a:latin typeface="+mn-lt"/>
              <a:ea typeface="+mn-ea"/>
              <a:cs typeface="+mn-cs"/>
            </a:rPr>
            <a:t>-  Perú cae 6.6% debido a la situación macroeconómica</a:t>
          </a:r>
          <a:r>
            <a:rPr lang="en-US" sz="1100" baseline="0">
              <a:solidFill>
                <a:schemeClr val="dk1"/>
              </a:solidFill>
              <a:effectLst/>
              <a:latin typeface="+mn-lt"/>
              <a:ea typeface="+mn-ea"/>
              <a:cs typeface="+mn-cs"/>
            </a:rPr>
            <a:t>, por una caída del PBI del 11% y 5% menos en salarios</a:t>
          </a:r>
          <a:endParaRPr lang="en-US">
            <a:effectLst/>
          </a:endParaRPr>
        </a:p>
        <a:p>
          <a:endParaRPr lang="en-US" sz="1200"/>
        </a:p>
      </xdr:txBody>
    </xdr:sp>
    <xdr:clientData/>
  </xdr:twoCellAnchor>
  <xdr:twoCellAnchor>
    <xdr:from>
      <xdr:col>11</xdr:col>
      <xdr:colOff>1059657</xdr:colOff>
      <xdr:row>4</xdr:row>
      <xdr:rowOff>71437</xdr:rowOff>
    </xdr:from>
    <xdr:to>
      <xdr:col>13</xdr:col>
      <xdr:colOff>0</xdr:colOff>
      <xdr:row>16</xdr:row>
      <xdr:rowOff>166687</xdr:rowOff>
    </xdr:to>
    <xdr:sp macro="" textlink="">
      <xdr:nvSpPr>
        <xdr:cNvPr id="6" name="TextBox 4">
          <a:extLst>
            <a:ext uri="{FF2B5EF4-FFF2-40B4-BE49-F238E27FC236}">
              <a16:creationId xmlns:a16="http://schemas.microsoft.com/office/drawing/2014/main" id="{00000000-0008-0000-1000-000006000000}"/>
            </a:ext>
          </a:extLst>
        </xdr:cNvPr>
        <xdr:cNvSpPr txBox="1"/>
      </xdr:nvSpPr>
      <xdr:spPr>
        <a:xfrm>
          <a:off x="12689682" y="1166812"/>
          <a:ext cx="7341393" cy="238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VS</a:t>
          </a:r>
          <a:r>
            <a:rPr lang="en-US" sz="1100" b="1" baseline="0">
              <a:solidFill>
                <a:schemeClr val="dk1"/>
              </a:solidFill>
              <a:effectLst/>
              <a:latin typeface="+mn-lt"/>
              <a:ea typeface="+mn-ea"/>
              <a:cs typeface="+mn-cs"/>
            </a:rPr>
            <a:t> WEEK 43</a:t>
          </a:r>
          <a:r>
            <a:rPr lang="en-US" sz="1100" baseline="0">
              <a:solidFill>
                <a:schemeClr val="dk1"/>
              </a:solidFill>
              <a:effectLst/>
              <a:latin typeface="+mn-lt"/>
              <a:ea typeface="+mn-ea"/>
              <a:cs typeface="+mn-cs"/>
            </a:rPr>
            <a:t>:</a:t>
          </a:r>
          <a:endParaRPr lang="en-US">
            <a:effectLst/>
          </a:endParaRPr>
        </a:p>
        <a:p>
          <a:r>
            <a:rPr lang="en-US" sz="1100" baseline="0">
              <a:solidFill>
                <a:schemeClr val="dk1"/>
              </a:solidFill>
              <a:effectLst/>
              <a:latin typeface="+mn-lt"/>
              <a:ea typeface="+mn-ea"/>
              <a:cs typeface="+mn-cs"/>
            </a:rPr>
            <a:t>- Las ventas en Perú caen 1.3MM cajas generado en parte por Affordability y por Weather. </a:t>
          </a:r>
        </a:p>
        <a:p>
          <a:endParaRPr lang="en-US">
            <a:effectLst/>
          </a:endParaRPr>
        </a:p>
        <a:p>
          <a:pPr eaLnBrk="1" fontAlgn="auto" latinLnBrk="0" hangingPunct="1"/>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Si bien la curva de precios se mantuvo, una mayor caída de los salarios generó un aumento del precio real restando 500K cajas. Con la última actualización de Datos Económicos el Salario empeora casi un 10% mas en el último cuatrimestre del año que la proyección anterior</a:t>
          </a:r>
        </a:p>
        <a:p>
          <a:pPr eaLnBrk="1" fontAlgn="auto" latinLnBrk="0" hangingPunct="1"/>
          <a:endParaRPr lang="en-US" sz="1100" baseline="0">
            <a:solidFill>
              <a:schemeClr val="dk1"/>
            </a:solidFill>
            <a:effectLst/>
            <a:latin typeface="+mn-lt"/>
            <a:ea typeface="+mn-ea"/>
            <a:cs typeface="+mn-cs"/>
          </a:endParaRPr>
        </a:p>
        <a:p>
          <a:pPr eaLnBrk="1" fontAlgn="auto" latinLnBrk="0" hangingPunct="1"/>
          <a:r>
            <a:rPr lang="en-US" sz="1100" baseline="0">
              <a:solidFill>
                <a:schemeClr val="dk1"/>
              </a:solidFill>
              <a:effectLst/>
              <a:latin typeface="+mn-lt"/>
              <a:ea typeface="+mn-ea"/>
              <a:cs typeface="+mn-cs"/>
            </a:rPr>
            <a:t>- No hay cambios en Precios y GAP</a:t>
          </a:r>
        </a:p>
        <a:p>
          <a:pPr eaLnBrk="1" fontAlgn="auto" latinLnBrk="0" hangingPunct="1"/>
          <a:endParaRPr lang="en-US">
            <a:effectLst/>
          </a:endParaRPr>
        </a:p>
        <a:p>
          <a:r>
            <a:rPr lang="en-US" sz="1100" baseline="0">
              <a:solidFill>
                <a:schemeClr val="dk1"/>
              </a:solidFill>
              <a:effectLst/>
              <a:latin typeface="+mn-lt"/>
              <a:ea typeface="+mn-ea"/>
              <a:cs typeface="+mn-cs"/>
            </a:rPr>
            <a:t>- Weather actualiza el real de octubre, siendo ahora mas frío y afectando en una caída de 500K cajas</a:t>
          </a:r>
        </a:p>
        <a:p>
          <a:endParaRPr lang="en-US" sz="1100" b="1" baseline="0">
            <a:solidFill>
              <a:schemeClr val="dk1"/>
            </a:solidFill>
            <a:effectLst/>
            <a:latin typeface="+mn-lt"/>
            <a:ea typeface="+mn-ea"/>
            <a:cs typeface="+mn-cs"/>
          </a:endParaRPr>
        </a:p>
        <a:p>
          <a:r>
            <a:rPr lang="en-US" sz="1100" b="1">
              <a:solidFill>
                <a:schemeClr val="dk1"/>
              </a:solidFill>
              <a:effectLst/>
              <a:latin typeface="+mn-lt"/>
              <a:ea typeface="+mn-ea"/>
              <a:cs typeface="+mn-cs"/>
            </a:rPr>
            <a:t>VERSUS 2019:</a:t>
          </a:r>
          <a:endParaRPr lang="en-US">
            <a:effectLst/>
          </a:endParaRPr>
        </a:p>
        <a:p>
          <a:r>
            <a:rPr lang="en-US" sz="1100">
              <a:solidFill>
                <a:schemeClr val="dk1"/>
              </a:solidFill>
              <a:effectLst/>
              <a:latin typeface="+mn-lt"/>
              <a:ea typeface="+mn-ea"/>
              <a:cs typeface="+mn-cs"/>
            </a:rPr>
            <a:t>- Respecto</a:t>
          </a:r>
          <a:r>
            <a:rPr lang="en-US" sz="1100" baseline="0">
              <a:solidFill>
                <a:schemeClr val="dk1"/>
              </a:solidFill>
              <a:effectLst/>
              <a:latin typeface="+mn-lt"/>
              <a:ea typeface="+mn-ea"/>
              <a:cs typeface="+mn-cs"/>
            </a:rPr>
            <a:t> al año anterior, </a:t>
          </a:r>
          <a:r>
            <a:rPr lang="en-US" sz="1100">
              <a:solidFill>
                <a:schemeClr val="dk1"/>
              </a:solidFill>
              <a:effectLst/>
              <a:latin typeface="+mn-lt"/>
              <a:ea typeface="+mn-ea"/>
              <a:cs typeface="+mn-cs"/>
            </a:rPr>
            <a:t>las</a:t>
          </a:r>
          <a:r>
            <a:rPr lang="en-US" sz="1100" baseline="0">
              <a:solidFill>
                <a:schemeClr val="dk1"/>
              </a:solidFill>
              <a:effectLst/>
              <a:latin typeface="+mn-lt"/>
              <a:ea typeface="+mn-ea"/>
              <a:cs typeface="+mn-cs"/>
            </a:rPr>
            <a:t> ventas caen un 7% por Affordabilty y Economy</a:t>
          </a:r>
          <a:endParaRPr lang="en-US">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83343</xdr:colOff>
      <xdr:row>0</xdr:row>
      <xdr:rowOff>47625</xdr:rowOff>
    </xdr:from>
    <xdr:to>
      <xdr:col>0</xdr:col>
      <xdr:colOff>469558</xdr:colOff>
      <xdr:row>0</xdr:row>
      <xdr:rowOff>353921</xdr:rowOff>
    </xdr:to>
    <xdr:pic macro="[1]!volver">
      <xdr:nvPicPr>
        <xdr:cNvPr id="2" name="Imagen 1">
          <a:hlinkClick xmlns:r="http://schemas.openxmlformats.org/officeDocument/2006/relationships" r:id="rId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343" y="47625"/>
          <a:ext cx="386215" cy="306296"/>
        </a:xfrm>
        <a:prstGeom prst="rect">
          <a:avLst/>
        </a:prstGeom>
      </xdr:spPr>
    </xdr:pic>
    <xdr:clientData/>
  </xdr:twoCellAnchor>
  <xdr:twoCellAnchor editAs="oneCell">
    <xdr:from>
      <xdr:col>0</xdr:col>
      <xdr:colOff>1396202</xdr:colOff>
      <xdr:row>0</xdr:row>
      <xdr:rowOff>23812</xdr:rowOff>
    </xdr:from>
    <xdr:to>
      <xdr:col>0</xdr:col>
      <xdr:colOff>1777202</xdr:colOff>
      <xdr:row>0</xdr:row>
      <xdr:rowOff>403225</xdr:rowOff>
    </xdr:to>
    <xdr:pic>
      <xdr:nvPicPr>
        <xdr:cNvPr id="3" name="Imagen 2" descr="File:&lt;strong&gt;Home&lt;/strong&gt; &lt;strong&gt;Icon&lt;/strong&gt;.svg - Wikimedia Commons">
          <a:hlinkClick xmlns:r="http://schemas.openxmlformats.org/officeDocument/2006/relationships" r:id="rId3"/>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96202" y="23812"/>
          <a:ext cx="381000" cy="37941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171450</xdr:colOff>
      <xdr:row>0</xdr:row>
      <xdr:rowOff>38100</xdr:rowOff>
    </xdr:from>
    <xdr:to>
      <xdr:col>0</xdr:col>
      <xdr:colOff>557665</xdr:colOff>
      <xdr:row>1</xdr:row>
      <xdr:rowOff>153896</xdr:rowOff>
    </xdr:to>
    <xdr:pic macro="[1]!volver">
      <xdr:nvPicPr>
        <xdr:cNvPr id="2" name="Imagen 1">
          <a:hlinkClick xmlns:r="http://schemas.openxmlformats.org/officeDocument/2006/relationships" r:id="rId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38100"/>
          <a:ext cx="386215" cy="306296"/>
        </a:xfrm>
        <a:prstGeom prst="rect">
          <a:avLst/>
        </a:prstGeom>
      </xdr:spPr>
    </xdr:pic>
    <xdr:clientData/>
  </xdr:twoCellAnchor>
  <xdr:twoCellAnchor>
    <xdr:from>
      <xdr:col>12</xdr:col>
      <xdr:colOff>0</xdr:colOff>
      <xdr:row>26</xdr:row>
      <xdr:rowOff>57728</xdr:rowOff>
    </xdr:from>
    <xdr:to>
      <xdr:col>13</xdr:col>
      <xdr:colOff>0</xdr:colOff>
      <xdr:row>33</xdr:row>
      <xdr:rowOff>154781</xdr:rowOff>
    </xdr:to>
    <xdr:sp macro="" textlink="">
      <xdr:nvSpPr>
        <xdr:cNvPr id="6" name="TextBox 3">
          <a:extLst>
            <a:ext uri="{FF2B5EF4-FFF2-40B4-BE49-F238E27FC236}">
              <a16:creationId xmlns:a16="http://schemas.microsoft.com/office/drawing/2014/main" id="{00000000-0008-0000-1200-000006000000}"/>
            </a:ext>
          </a:extLst>
        </xdr:cNvPr>
        <xdr:cNvSpPr txBox="1"/>
      </xdr:nvSpPr>
      <xdr:spPr>
        <a:xfrm>
          <a:off x="10848975" y="5582228"/>
          <a:ext cx="2762250" cy="14305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100" b="1" baseline="0">
              <a:solidFill>
                <a:schemeClr val="dk1"/>
              </a:solidFill>
              <a:effectLst/>
              <a:latin typeface="+mn-lt"/>
              <a:ea typeface="+mn-ea"/>
              <a:cs typeface="+mn-cs"/>
            </a:rPr>
            <a:t>VS WEEK 39</a:t>
          </a:r>
          <a:endParaRPr lang="en-US">
            <a:effectLst/>
          </a:endParaRPr>
        </a:p>
        <a:p>
          <a:r>
            <a:rPr lang="en-US" sz="1100" baseline="0">
              <a:solidFill>
                <a:schemeClr val="dk1"/>
              </a:solidFill>
              <a:effectLst/>
              <a:latin typeface="+mn-lt"/>
              <a:ea typeface="+mn-ea"/>
              <a:cs typeface="+mn-cs"/>
            </a:rPr>
            <a:t>- Los niveles se mantienen respectgo a la corrida anterior, puesto que no hubo variaciones en las variables exógenas, excepto un leve aumento de temperatura en el pronóstico de octubre, mostrándolo más caluroso</a:t>
          </a:r>
          <a:endParaRPr lang="en-US">
            <a:effectLst/>
          </a:endParaRPr>
        </a:p>
        <a:p>
          <a:pPr eaLnBrk="1" fontAlgn="auto" latinLnBrk="0" hangingPunct="1"/>
          <a:r>
            <a:rPr lang="en-US" sz="1100" b="1" baseline="0">
              <a:solidFill>
                <a:schemeClr val="dk1"/>
              </a:solidFill>
              <a:effectLst/>
              <a:latin typeface="+mn-lt"/>
              <a:ea typeface="+mn-ea"/>
              <a:cs typeface="+mn-cs"/>
            </a:rPr>
            <a:t>VS 2019</a:t>
          </a:r>
          <a:endParaRPr lang="en-US">
            <a:effectLst/>
          </a:endParaRPr>
        </a:p>
        <a:p>
          <a:pPr eaLnBrk="1" fontAlgn="auto" latinLnBrk="0" hangingPunct="1"/>
          <a:r>
            <a:rPr lang="en-US" sz="1100">
              <a:solidFill>
                <a:schemeClr val="dk1"/>
              </a:solidFill>
              <a:effectLst/>
              <a:latin typeface="+mn-lt"/>
              <a:ea typeface="+mn-ea"/>
              <a:cs typeface="+mn-cs"/>
            </a:rPr>
            <a:t>-  Perú cae 6.6% debido a la situación macroeconómica</a:t>
          </a:r>
          <a:r>
            <a:rPr lang="en-US" sz="1100" baseline="0">
              <a:solidFill>
                <a:schemeClr val="dk1"/>
              </a:solidFill>
              <a:effectLst/>
              <a:latin typeface="+mn-lt"/>
              <a:ea typeface="+mn-ea"/>
              <a:cs typeface="+mn-cs"/>
            </a:rPr>
            <a:t>, por una caída del PBI del 11% y 5% menos en salarios</a:t>
          </a:r>
          <a:endParaRPr lang="en-US">
            <a:effectLst/>
          </a:endParaRPr>
        </a:p>
        <a:p>
          <a:endParaRPr lang="en-US" sz="1200"/>
        </a:p>
      </xdr:txBody>
    </xdr:sp>
    <xdr:clientData/>
  </xdr:twoCellAnchor>
  <xdr:twoCellAnchor>
    <xdr:from>
      <xdr:col>11</xdr:col>
      <xdr:colOff>1059657</xdr:colOff>
      <xdr:row>4</xdr:row>
      <xdr:rowOff>71437</xdr:rowOff>
    </xdr:from>
    <xdr:to>
      <xdr:col>13</xdr:col>
      <xdr:colOff>0</xdr:colOff>
      <xdr:row>16</xdr:row>
      <xdr:rowOff>166687</xdr:rowOff>
    </xdr:to>
    <xdr:sp macro="" textlink="">
      <xdr:nvSpPr>
        <xdr:cNvPr id="7" name="TextBox 4">
          <a:extLst>
            <a:ext uri="{FF2B5EF4-FFF2-40B4-BE49-F238E27FC236}">
              <a16:creationId xmlns:a16="http://schemas.microsoft.com/office/drawing/2014/main" id="{00000000-0008-0000-1200-000007000000}"/>
            </a:ext>
          </a:extLst>
        </xdr:cNvPr>
        <xdr:cNvSpPr txBox="1"/>
      </xdr:nvSpPr>
      <xdr:spPr>
        <a:xfrm>
          <a:off x="10851357" y="1023937"/>
          <a:ext cx="2759868" cy="238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VS</a:t>
          </a:r>
          <a:r>
            <a:rPr lang="en-US" sz="1100" b="1" baseline="0">
              <a:solidFill>
                <a:schemeClr val="dk1"/>
              </a:solidFill>
              <a:effectLst/>
              <a:latin typeface="+mn-lt"/>
              <a:ea typeface="+mn-ea"/>
              <a:cs typeface="+mn-cs"/>
            </a:rPr>
            <a:t> WEEK 43</a:t>
          </a:r>
          <a:r>
            <a:rPr lang="en-US" sz="1100" baseline="0">
              <a:solidFill>
                <a:schemeClr val="dk1"/>
              </a:solidFill>
              <a:effectLst/>
              <a:latin typeface="+mn-lt"/>
              <a:ea typeface="+mn-ea"/>
              <a:cs typeface="+mn-cs"/>
            </a:rPr>
            <a:t>:</a:t>
          </a:r>
          <a:endParaRPr lang="en-US">
            <a:effectLst/>
          </a:endParaRPr>
        </a:p>
        <a:p>
          <a:r>
            <a:rPr lang="en-US" sz="1100" baseline="0">
              <a:solidFill>
                <a:schemeClr val="dk1"/>
              </a:solidFill>
              <a:effectLst/>
              <a:latin typeface="+mn-lt"/>
              <a:ea typeface="+mn-ea"/>
              <a:cs typeface="+mn-cs"/>
            </a:rPr>
            <a:t>- Las ventas en Perú caen 1.3MM cajas generado en parte por Affordability y por Weather. </a:t>
          </a:r>
        </a:p>
        <a:p>
          <a:endParaRPr lang="en-US">
            <a:effectLst/>
          </a:endParaRPr>
        </a:p>
        <a:p>
          <a:pPr eaLnBrk="1" fontAlgn="auto" latinLnBrk="0" hangingPunct="1"/>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Si bien la curva de precios se mantuvo, una mayor caída de los salarios generó un aumento del precio real restando 500K cajas. Con la última actualización de Datos Económicos el Salario empeora casi un 10% mas en el último cuatrimestre del año que la proyección anterior</a:t>
          </a:r>
        </a:p>
        <a:p>
          <a:pPr eaLnBrk="1" fontAlgn="auto" latinLnBrk="0" hangingPunct="1"/>
          <a:endParaRPr lang="en-US" sz="1100" baseline="0">
            <a:solidFill>
              <a:schemeClr val="dk1"/>
            </a:solidFill>
            <a:effectLst/>
            <a:latin typeface="+mn-lt"/>
            <a:ea typeface="+mn-ea"/>
            <a:cs typeface="+mn-cs"/>
          </a:endParaRPr>
        </a:p>
        <a:p>
          <a:pPr eaLnBrk="1" fontAlgn="auto" latinLnBrk="0" hangingPunct="1"/>
          <a:r>
            <a:rPr lang="en-US" sz="1100" baseline="0">
              <a:solidFill>
                <a:schemeClr val="dk1"/>
              </a:solidFill>
              <a:effectLst/>
              <a:latin typeface="+mn-lt"/>
              <a:ea typeface="+mn-ea"/>
              <a:cs typeface="+mn-cs"/>
            </a:rPr>
            <a:t>- No hay cambios en Precios y GAP</a:t>
          </a:r>
        </a:p>
        <a:p>
          <a:pPr eaLnBrk="1" fontAlgn="auto" latinLnBrk="0" hangingPunct="1"/>
          <a:endParaRPr lang="en-US">
            <a:effectLst/>
          </a:endParaRPr>
        </a:p>
        <a:p>
          <a:r>
            <a:rPr lang="en-US" sz="1100" baseline="0">
              <a:solidFill>
                <a:schemeClr val="dk1"/>
              </a:solidFill>
              <a:effectLst/>
              <a:latin typeface="+mn-lt"/>
              <a:ea typeface="+mn-ea"/>
              <a:cs typeface="+mn-cs"/>
            </a:rPr>
            <a:t>- Weather actualiza el real de octubre, siendo ahora mas frío y afectando en una caída de 500K cajas</a:t>
          </a:r>
        </a:p>
        <a:p>
          <a:endParaRPr lang="en-US" sz="1100" b="1" baseline="0">
            <a:solidFill>
              <a:schemeClr val="dk1"/>
            </a:solidFill>
            <a:effectLst/>
            <a:latin typeface="+mn-lt"/>
            <a:ea typeface="+mn-ea"/>
            <a:cs typeface="+mn-cs"/>
          </a:endParaRPr>
        </a:p>
        <a:p>
          <a:r>
            <a:rPr lang="en-US" sz="1100" b="1">
              <a:solidFill>
                <a:schemeClr val="dk1"/>
              </a:solidFill>
              <a:effectLst/>
              <a:latin typeface="+mn-lt"/>
              <a:ea typeface="+mn-ea"/>
              <a:cs typeface="+mn-cs"/>
            </a:rPr>
            <a:t>VERSUS 2019:</a:t>
          </a:r>
          <a:endParaRPr lang="en-US">
            <a:effectLst/>
          </a:endParaRPr>
        </a:p>
        <a:p>
          <a:r>
            <a:rPr lang="en-US" sz="1100">
              <a:solidFill>
                <a:schemeClr val="dk1"/>
              </a:solidFill>
              <a:effectLst/>
              <a:latin typeface="+mn-lt"/>
              <a:ea typeface="+mn-ea"/>
              <a:cs typeface="+mn-cs"/>
            </a:rPr>
            <a:t>- Respecto</a:t>
          </a:r>
          <a:r>
            <a:rPr lang="en-US" sz="1100" baseline="0">
              <a:solidFill>
                <a:schemeClr val="dk1"/>
              </a:solidFill>
              <a:effectLst/>
              <a:latin typeface="+mn-lt"/>
              <a:ea typeface="+mn-ea"/>
              <a:cs typeface="+mn-cs"/>
            </a:rPr>
            <a:t> al año anterior, </a:t>
          </a:r>
          <a:r>
            <a:rPr lang="en-US" sz="1100">
              <a:solidFill>
                <a:schemeClr val="dk1"/>
              </a:solidFill>
              <a:effectLst/>
              <a:latin typeface="+mn-lt"/>
              <a:ea typeface="+mn-ea"/>
              <a:cs typeface="+mn-cs"/>
            </a:rPr>
            <a:t>las</a:t>
          </a:r>
          <a:r>
            <a:rPr lang="en-US" sz="1100" baseline="0">
              <a:solidFill>
                <a:schemeClr val="dk1"/>
              </a:solidFill>
              <a:effectLst/>
              <a:latin typeface="+mn-lt"/>
              <a:ea typeface="+mn-ea"/>
              <a:cs typeface="+mn-cs"/>
            </a:rPr>
            <a:t> ventas caen un 7% por Affordabilty y Economy</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0</xdr:row>
      <xdr:rowOff>47626</xdr:rowOff>
    </xdr:from>
    <xdr:to>
      <xdr:col>0</xdr:col>
      <xdr:colOff>452890</xdr:colOff>
      <xdr:row>0</xdr:row>
      <xdr:rowOff>299358</xdr:rowOff>
    </xdr:to>
    <xdr:pic macro="[1]!volver">
      <xdr:nvPicPr>
        <xdr:cNvPr id="3" name="Imagen 2">
          <a:hlinkClick xmlns:r="http://schemas.openxmlformats.org/officeDocument/2006/relationships" r:id="rId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47626"/>
          <a:ext cx="386215" cy="251732"/>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83343</xdr:colOff>
      <xdr:row>0</xdr:row>
      <xdr:rowOff>47625</xdr:rowOff>
    </xdr:from>
    <xdr:to>
      <xdr:col>0</xdr:col>
      <xdr:colOff>469558</xdr:colOff>
      <xdr:row>0</xdr:row>
      <xdr:rowOff>353921</xdr:rowOff>
    </xdr:to>
    <xdr:pic macro="[1]!volver">
      <xdr:nvPicPr>
        <xdr:cNvPr id="2" name="Imagen 1">
          <a:hlinkClick xmlns:r="http://schemas.openxmlformats.org/officeDocument/2006/relationships" r:id="rId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343" y="47625"/>
          <a:ext cx="386215" cy="306296"/>
        </a:xfrm>
        <a:prstGeom prst="rect">
          <a:avLst/>
        </a:prstGeom>
      </xdr:spPr>
    </xdr:pic>
    <xdr:clientData/>
  </xdr:twoCellAnchor>
  <xdr:twoCellAnchor editAs="oneCell">
    <xdr:from>
      <xdr:col>0</xdr:col>
      <xdr:colOff>1396202</xdr:colOff>
      <xdr:row>0</xdr:row>
      <xdr:rowOff>23812</xdr:rowOff>
    </xdr:from>
    <xdr:to>
      <xdr:col>0</xdr:col>
      <xdr:colOff>1777202</xdr:colOff>
      <xdr:row>0</xdr:row>
      <xdr:rowOff>403225</xdr:rowOff>
    </xdr:to>
    <xdr:pic>
      <xdr:nvPicPr>
        <xdr:cNvPr id="3" name="Imagen 2" descr="File:&lt;strong&gt;Home&lt;/strong&gt; &lt;strong&gt;Icon&lt;/strong&gt;.svg - Wikimedia Commons">
          <a:hlinkClick xmlns:r="http://schemas.openxmlformats.org/officeDocument/2006/relationships" r:id="rId3"/>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96202" y="23812"/>
          <a:ext cx="381000" cy="3794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66675</xdr:colOff>
      <xdr:row>0</xdr:row>
      <xdr:rowOff>47625</xdr:rowOff>
    </xdr:from>
    <xdr:to>
      <xdr:col>0</xdr:col>
      <xdr:colOff>452890</xdr:colOff>
      <xdr:row>1</xdr:row>
      <xdr:rowOff>20546</xdr:rowOff>
    </xdr:to>
    <xdr:pic macro="[1]!volver">
      <xdr:nvPicPr>
        <xdr:cNvPr id="2" name="Imagen 1">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47625"/>
          <a:ext cx="386215" cy="306296"/>
        </a:xfrm>
        <a:prstGeom prst="rect">
          <a:avLst/>
        </a:prstGeom>
      </xdr:spPr>
    </xdr:pic>
    <xdr:clientData/>
  </xdr:twoCellAnchor>
  <xdr:twoCellAnchor>
    <xdr:from>
      <xdr:col>11</xdr:col>
      <xdr:colOff>976310</xdr:colOff>
      <xdr:row>3</xdr:row>
      <xdr:rowOff>35719</xdr:rowOff>
    </xdr:from>
    <xdr:to>
      <xdr:col>13</xdr:col>
      <xdr:colOff>0</xdr:colOff>
      <xdr:row>16</xdr:row>
      <xdr:rowOff>166689</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0906123" y="1143000"/>
          <a:ext cx="7929563" cy="26074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VS</a:t>
          </a:r>
          <a:r>
            <a:rPr lang="en-US" sz="1100" b="1" baseline="0"/>
            <a:t> WEEK 43</a:t>
          </a:r>
          <a:r>
            <a:rPr lang="en-US" sz="1100" baseline="0"/>
            <a:t>:</a:t>
          </a:r>
        </a:p>
        <a:p>
          <a:r>
            <a:rPr lang="en-US" sz="1100" baseline="0">
              <a:solidFill>
                <a:schemeClr val="dk1"/>
              </a:solidFill>
              <a:effectLst/>
              <a:latin typeface="+mn-lt"/>
              <a:ea typeface="+mn-ea"/>
              <a:cs typeface="+mn-cs"/>
            </a:rPr>
            <a:t>- Andina mantiene los niveles de la semana 43, cayendo 0.3% impulsado por Economy</a:t>
          </a:r>
        </a:p>
        <a:p>
          <a:endParaRPr lang="en-US">
            <a:effectLst/>
          </a:endParaRPr>
        </a:p>
        <a:p>
          <a:r>
            <a:rPr lang="en-US" sz="1100" baseline="0">
              <a:solidFill>
                <a:schemeClr val="dk1"/>
              </a:solidFill>
              <a:effectLst/>
              <a:latin typeface="+mn-lt"/>
              <a:ea typeface="+mn-ea"/>
              <a:cs typeface="+mn-cs"/>
            </a:rPr>
            <a:t>- El ICC  varía +2% vs 2019, cuando el W43 estaba subiendo 4.3%</a:t>
          </a:r>
        </a:p>
        <a:p>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effectLst/>
            </a:rPr>
            <a:t>- No hubo cambios en las curvas de precio, pero</a:t>
          </a:r>
          <a:r>
            <a:rPr lang="en-US" baseline="0">
              <a:effectLst/>
            </a:rPr>
            <a:t> una pequeña variación en el índice de salarios de diciembre generó la recuperación de 50.000 cajas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r>
            <a:rPr lang="en-US" sz="1100" baseline="0">
              <a:solidFill>
                <a:schemeClr val="dk1"/>
              </a:solidFill>
              <a:effectLst/>
              <a:latin typeface="+mn-lt"/>
              <a:ea typeface="+mn-ea"/>
              <a:cs typeface="+mn-cs"/>
            </a:rPr>
            <a:t>- Weather actualiza el real de octubre y reproyecta noviembre y diciembre, por lo que ahora se espera un último trimestre más cálido  aportando casi 200k cajas</a:t>
          </a:r>
        </a:p>
        <a:p>
          <a:endParaRPr lang="en-US" sz="1100"/>
        </a:p>
        <a:p>
          <a:r>
            <a:rPr lang="en-US" sz="1100" b="1"/>
            <a:t>VERSUS 2019:</a:t>
          </a:r>
        </a:p>
        <a:p>
          <a:r>
            <a:rPr lang="en-US" sz="1100"/>
            <a:t>- Andina crece 0.7% respecto al año anterior impulsado por un</a:t>
          </a:r>
          <a:r>
            <a:rPr lang="en-US" sz="1100" baseline="0"/>
            <a:t> aumento de Salarios mayor al precio que generó una caída del precio real</a:t>
          </a:r>
          <a:endParaRPr lang="en-US" sz="1100"/>
        </a:p>
        <a:p>
          <a:endParaRPr lang="en-US" sz="1100" baseline="0"/>
        </a:p>
      </xdr:txBody>
    </xdr:sp>
    <xdr:clientData/>
  </xdr:twoCellAnchor>
  <xdr:twoCellAnchor>
    <xdr:from>
      <xdr:col>12</xdr:col>
      <xdr:colOff>0</xdr:colOff>
      <xdr:row>23</xdr:row>
      <xdr:rowOff>59531</xdr:rowOff>
    </xdr:from>
    <xdr:to>
      <xdr:col>13</xdr:col>
      <xdr:colOff>0</xdr:colOff>
      <xdr:row>37</xdr:row>
      <xdr:rowOff>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10906125" y="4833937"/>
          <a:ext cx="8012906" cy="2651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VS</a:t>
          </a:r>
          <a:r>
            <a:rPr lang="en-US" sz="1100" b="1" baseline="0">
              <a:solidFill>
                <a:schemeClr val="dk1"/>
              </a:solidFill>
              <a:effectLst/>
              <a:latin typeface="+mn-lt"/>
              <a:ea typeface="+mn-ea"/>
              <a:cs typeface="+mn-cs"/>
            </a:rPr>
            <a:t> WEEK 39</a:t>
          </a:r>
          <a:r>
            <a:rPr lang="en-US" sz="1100" baseline="0">
              <a:solidFill>
                <a:schemeClr val="dk1"/>
              </a:solidFill>
              <a:effectLst/>
              <a:latin typeface="+mn-lt"/>
              <a:ea typeface="+mn-ea"/>
              <a:cs typeface="+mn-cs"/>
            </a:rPr>
            <a:t>:</a:t>
          </a:r>
          <a:endParaRPr lang="en-US">
            <a:effectLst/>
          </a:endParaRPr>
        </a:p>
        <a:p>
          <a:r>
            <a:rPr lang="en-US" sz="1100" baseline="0">
              <a:solidFill>
                <a:schemeClr val="dk1"/>
              </a:solidFill>
              <a:effectLst/>
              <a:latin typeface="+mn-lt"/>
              <a:ea typeface="+mn-ea"/>
              <a:cs typeface="+mn-cs"/>
            </a:rPr>
            <a:t>- Se observa una pequeña caída de 0.5%, debido principalmente a la actualización de precios y GAP</a:t>
          </a:r>
          <a:endParaRPr lang="en-US">
            <a:effectLst/>
          </a:endParaRPr>
        </a:p>
        <a:p>
          <a:r>
            <a:rPr lang="en-US" sz="1100" baseline="0">
              <a:solidFill>
                <a:schemeClr val="dk1"/>
              </a:solidFill>
              <a:effectLst/>
              <a:latin typeface="+mn-lt"/>
              <a:ea typeface="+mn-ea"/>
              <a:cs typeface="+mn-cs"/>
            </a:rPr>
            <a:t>- El ICC  actualiza septiembre cambiando la tendencia de crecimiento y mostrando una caída de -4%, resultando en una pérdida de 120 mil cajas.</a:t>
          </a:r>
          <a:endParaRPr lang="en-US">
            <a:effectLst/>
          </a:endParaRPr>
        </a:p>
        <a:p>
          <a:r>
            <a:rPr lang="en-US" sz="1100" baseline="0">
              <a:solidFill>
                <a:schemeClr val="dk1"/>
              </a:solidFill>
              <a:effectLst/>
              <a:latin typeface="+mn-lt"/>
              <a:ea typeface="+mn-ea"/>
              <a:cs typeface="+mn-cs"/>
            </a:rPr>
            <a:t>- Affordability cae 23% por actualización de la curva de precios en el último cuatrimestre del año</a:t>
          </a:r>
          <a:endParaRPr lang="en-US">
            <a:effectLst/>
          </a:endParaRPr>
        </a:p>
        <a:p>
          <a:pPr eaLnBrk="1" fontAlgn="auto" latinLnBrk="0" hangingPunct="1"/>
          <a:r>
            <a:rPr lang="en-US" sz="1100">
              <a:solidFill>
                <a:schemeClr val="dk1"/>
              </a:solidFill>
              <a:effectLst/>
              <a:latin typeface="+mn-lt"/>
              <a:ea typeface="+mn-ea"/>
              <a:cs typeface="+mn-cs"/>
            </a:rPr>
            <a:t>- Competitividad cae</a:t>
          </a:r>
          <a:r>
            <a:rPr lang="en-US" sz="1100" baseline="0">
              <a:solidFill>
                <a:schemeClr val="dk1"/>
              </a:solidFill>
              <a:effectLst/>
              <a:latin typeface="+mn-lt"/>
              <a:ea typeface="+mn-ea"/>
              <a:cs typeface="+mn-cs"/>
            </a:rPr>
            <a:t> 18%, luego de una recalibración del GAP basado en la actualización de la cobertura de aumentos que hace la competencia vs KO, visto en Nielsen</a:t>
          </a:r>
          <a:endParaRPr lang="en-US">
            <a:effectLst/>
          </a:endParaRPr>
        </a:p>
        <a:p>
          <a:r>
            <a:rPr lang="en-US" sz="1100" baseline="0">
              <a:solidFill>
                <a:schemeClr val="dk1"/>
              </a:solidFill>
              <a:effectLst/>
              <a:latin typeface="+mn-lt"/>
              <a:ea typeface="+mn-ea"/>
              <a:cs typeface="+mn-cs"/>
            </a:rPr>
            <a:t>- Weather actualiza el real de septiembre mostrándose caluroso de lo que pronósticó, y así mismo un octubre, tendrá una temperatura más alta que la vista en W39</a:t>
          </a:r>
          <a:endParaRPr lang="en-US">
            <a:effectLst/>
          </a:endParaRPr>
        </a:p>
        <a:p>
          <a:r>
            <a:rPr lang="en-US" sz="1100" b="1">
              <a:solidFill>
                <a:schemeClr val="dk1"/>
              </a:solidFill>
              <a:effectLst/>
              <a:latin typeface="+mn-lt"/>
              <a:ea typeface="+mn-ea"/>
              <a:cs typeface="+mn-cs"/>
            </a:rPr>
            <a:t>VERSUS 2019:</a:t>
          </a:r>
          <a:endParaRPr lang="en-US">
            <a:effectLst/>
          </a:endParaRPr>
        </a:p>
        <a:p>
          <a:r>
            <a:rPr lang="en-US" sz="1100">
              <a:solidFill>
                <a:schemeClr val="dk1"/>
              </a:solidFill>
              <a:effectLst/>
              <a:latin typeface="+mn-lt"/>
              <a:ea typeface="+mn-ea"/>
              <a:cs typeface="+mn-cs"/>
            </a:rPr>
            <a:t>- Andina crece 1% respecto al año anterior impulsado por Weather</a:t>
          </a:r>
          <a:endParaRPr lang="en-US">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67235</xdr:colOff>
      <xdr:row>0</xdr:row>
      <xdr:rowOff>56030</xdr:rowOff>
    </xdr:from>
    <xdr:to>
      <xdr:col>0</xdr:col>
      <xdr:colOff>453450</xdr:colOff>
      <xdr:row>0</xdr:row>
      <xdr:rowOff>362326</xdr:rowOff>
    </xdr:to>
    <xdr:pic macro="[1]!volver">
      <xdr:nvPicPr>
        <xdr:cNvPr id="2" name="Imagen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35" y="56030"/>
          <a:ext cx="386215" cy="306296"/>
        </a:xfrm>
        <a:prstGeom prst="rect">
          <a:avLst/>
        </a:prstGeom>
      </xdr:spPr>
    </xdr:pic>
    <xdr:clientData/>
  </xdr:twoCellAnchor>
  <xdr:twoCellAnchor editAs="oneCell">
    <xdr:from>
      <xdr:col>0</xdr:col>
      <xdr:colOff>1511300</xdr:colOff>
      <xdr:row>0</xdr:row>
      <xdr:rowOff>25400</xdr:rowOff>
    </xdr:from>
    <xdr:to>
      <xdr:col>0</xdr:col>
      <xdr:colOff>1892300</xdr:colOff>
      <xdr:row>1</xdr:row>
      <xdr:rowOff>0</xdr:rowOff>
    </xdr:to>
    <xdr:pic>
      <xdr:nvPicPr>
        <xdr:cNvPr id="3" name="Imagen 2" descr="File:&lt;strong&gt;Home&lt;/strong&gt; &lt;strong&gt;Icon&lt;/strong&gt;.svg - Wikimedia Commons">
          <a:hlinkClick xmlns:r="http://schemas.openxmlformats.org/officeDocument/2006/relationships" r:id="rId3"/>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11300" y="25400"/>
          <a:ext cx="381000" cy="3746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57150</xdr:colOff>
      <xdr:row>0</xdr:row>
      <xdr:rowOff>47625</xdr:rowOff>
    </xdr:from>
    <xdr:to>
      <xdr:col>0</xdr:col>
      <xdr:colOff>443365</xdr:colOff>
      <xdr:row>1</xdr:row>
      <xdr:rowOff>20546</xdr:rowOff>
    </xdr:to>
    <xdr:pic macro="[1]!volver">
      <xdr:nvPicPr>
        <xdr:cNvPr id="3" name="Imagen 2">
          <a:hlinkClick xmlns:r="http://schemas.openxmlformats.org/officeDocument/2006/relationships" r:id="rId1"/>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0" y="47625"/>
          <a:ext cx="386215" cy="306296"/>
        </a:xfrm>
        <a:prstGeom prst="rect">
          <a:avLst/>
        </a:prstGeom>
      </xdr:spPr>
    </xdr:pic>
    <xdr:clientData/>
  </xdr:twoCellAnchor>
  <xdr:twoCellAnchor>
    <xdr:from>
      <xdr:col>11</xdr:col>
      <xdr:colOff>683420</xdr:colOff>
      <xdr:row>2</xdr:row>
      <xdr:rowOff>47625</xdr:rowOff>
    </xdr:from>
    <xdr:to>
      <xdr:col>13</xdr:col>
      <xdr:colOff>0</xdr:colOff>
      <xdr:row>14</xdr:row>
      <xdr:rowOff>142875</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10053639" y="762000"/>
          <a:ext cx="6698456" cy="238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VS</a:t>
          </a:r>
          <a:r>
            <a:rPr lang="en-US" sz="1100" b="1" baseline="0">
              <a:solidFill>
                <a:schemeClr val="dk1"/>
              </a:solidFill>
              <a:effectLst/>
              <a:latin typeface="+mn-lt"/>
              <a:ea typeface="+mn-ea"/>
              <a:cs typeface="+mn-cs"/>
            </a:rPr>
            <a:t> WEEK 43</a:t>
          </a:r>
          <a:r>
            <a:rPr lang="en-US" sz="1100" baseline="0">
              <a:solidFill>
                <a:schemeClr val="dk1"/>
              </a:solidFill>
              <a:effectLst/>
              <a:latin typeface="+mn-lt"/>
              <a:ea typeface="+mn-ea"/>
              <a:cs typeface="+mn-cs"/>
            </a:rPr>
            <a:t>:</a:t>
          </a:r>
          <a:endParaRPr lang="en-US">
            <a:effectLst/>
          </a:endParaRPr>
        </a:p>
        <a:p>
          <a:r>
            <a:rPr lang="en-US" sz="1100" baseline="0">
              <a:solidFill>
                <a:schemeClr val="dk1"/>
              </a:solidFill>
              <a:effectLst/>
              <a:latin typeface="+mn-lt"/>
              <a:ea typeface="+mn-ea"/>
              <a:cs typeface="+mn-cs"/>
            </a:rPr>
            <a:t>- Arca mantiene los niveles de la semana 43</a:t>
          </a:r>
        </a:p>
        <a:p>
          <a:endParaRPr lang="en-US">
            <a:effectLst/>
          </a:endParaRPr>
        </a:p>
        <a:p>
          <a:r>
            <a:rPr lang="en-US" sz="1100" baseline="0">
              <a:solidFill>
                <a:schemeClr val="dk1"/>
              </a:solidFill>
              <a:effectLst/>
              <a:latin typeface="+mn-lt"/>
              <a:ea typeface="+mn-ea"/>
              <a:cs typeface="+mn-cs"/>
            </a:rPr>
            <a:t>- El ICC  varía +2% vs 2019, cuando el W43 estaba subiendo 4.3%</a:t>
          </a:r>
        </a:p>
        <a:p>
          <a:endParaRPr lang="en-US">
            <a:effectLst/>
          </a:endParaRPr>
        </a:p>
        <a:p>
          <a:pPr eaLnBrk="1" fontAlgn="auto" latinLnBrk="0" hangingPunct="1"/>
          <a:r>
            <a:rPr lang="en-US" sz="1100">
              <a:solidFill>
                <a:schemeClr val="dk1"/>
              </a:solidFill>
              <a:effectLst/>
              <a:latin typeface="+mn-lt"/>
              <a:ea typeface="+mn-ea"/>
              <a:cs typeface="+mn-cs"/>
            </a:rPr>
            <a:t>- No hubo cambios en las curvas de precio, pero</a:t>
          </a:r>
          <a:r>
            <a:rPr lang="en-US" sz="1100" baseline="0">
              <a:solidFill>
                <a:schemeClr val="dk1"/>
              </a:solidFill>
              <a:effectLst/>
              <a:latin typeface="+mn-lt"/>
              <a:ea typeface="+mn-ea"/>
              <a:cs typeface="+mn-cs"/>
            </a:rPr>
            <a:t> una pequeña variación en el índice de salarios de diciembre generó la recuperación de 16k cajas</a:t>
          </a:r>
        </a:p>
        <a:p>
          <a:pPr eaLnBrk="1" fontAlgn="auto" latinLnBrk="0" hangingPunct="1"/>
          <a:endParaRPr lang="en-US">
            <a:effectLst/>
          </a:endParaRPr>
        </a:p>
        <a:p>
          <a:r>
            <a:rPr lang="en-US" sz="1100" baseline="0">
              <a:solidFill>
                <a:schemeClr val="dk1"/>
              </a:solidFill>
              <a:effectLst/>
              <a:latin typeface="+mn-lt"/>
              <a:ea typeface="+mn-ea"/>
              <a:cs typeface="+mn-cs"/>
            </a:rPr>
            <a:t>- Weather actualiza el real de octubre y reproyecta noviembre y diciembre, por lo que ahora se espera un último trimestre más cálido  aportando casi 200k cajas</a:t>
          </a:r>
        </a:p>
        <a:p>
          <a:endParaRPr lang="en-US">
            <a:effectLst/>
          </a:endParaRPr>
        </a:p>
        <a:p>
          <a:r>
            <a:rPr lang="en-US" sz="1100" b="1">
              <a:solidFill>
                <a:schemeClr val="dk1"/>
              </a:solidFill>
              <a:effectLst/>
              <a:latin typeface="+mn-lt"/>
              <a:ea typeface="+mn-ea"/>
              <a:cs typeface="+mn-cs"/>
            </a:rPr>
            <a:t>VERSUS 2019:</a:t>
          </a:r>
          <a:endParaRPr lang="en-US">
            <a:effectLst/>
          </a:endParaRPr>
        </a:p>
        <a:p>
          <a:r>
            <a:rPr lang="en-US" sz="1100">
              <a:solidFill>
                <a:schemeClr val="dk1"/>
              </a:solidFill>
              <a:effectLst/>
              <a:latin typeface="+mn-lt"/>
              <a:ea typeface="+mn-ea"/>
              <a:cs typeface="+mn-cs"/>
            </a:rPr>
            <a:t>- Arca cae</a:t>
          </a:r>
          <a:r>
            <a:rPr lang="en-US" sz="1100" baseline="0">
              <a:solidFill>
                <a:schemeClr val="dk1"/>
              </a:solidFill>
              <a:effectLst/>
              <a:latin typeface="+mn-lt"/>
              <a:ea typeface="+mn-ea"/>
              <a:cs typeface="+mn-cs"/>
            </a:rPr>
            <a:t> 6</a:t>
          </a:r>
          <a:r>
            <a:rPr lang="en-US" sz="1100">
              <a:solidFill>
                <a:schemeClr val="dk1"/>
              </a:solidFill>
              <a:effectLst/>
              <a:latin typeface="+mn-lt"/>
              <a:ea typeface="+mn-ea"/>
              <a:cs typeface="+mn-cs"/>
            </a:rPr>
            <a:t>% respecto al año anterior impulsado un</a:t>
          </a:r>
          <a:r>
            <a:rPr lang="en-US" sz="1100" baseline="0">
              <a:solidFill>
                <a:schemeClr val="dk1"/>
              </a:solidFill>
              <a:effectLst/>
              <a:latin typeface="+mn-lt"/>
              <a:ea typeface="+mn-ea"/>
              <a:cs typeface="+mn-cs"/>
            </a:rPr>
            <a:t> aumento del GAP del 6.3% </a:t>
          </a:r>
          <a:endParaRPr lang="en-US">
            <a:effectLst/>
          </a:endParaRPr>
        </a:p>
      </xdr:txBody>
    </xdr:sp>
    <xdr:clientData/>
  </xdr:twoCellAnchor>
  <xdr:twoCellAnchor>
    <xdr:from>
      <xdr:col>11</xdr:col>
      <xdr:colOff>633743</xdr:colOff>
      <xdr:row>24</xdr:row>
      <xdr:rowOff>31197</xdr:rowOff>
    </xdr:from>
    <xdr:to>
      <xdr:col>13</xdr:col>
      <xdr:colOff>0</xdr:colOff>
      <xdr:row>37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10014059" y="4923309"/>
          <a:ext cx="6774657" cy="25514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VS</a:t>
          </a:r>
          <a:r>
            <a:rPr lang="en-US" sz="1100" b="1" baseline="0">
              <a:solidFill>
                <a:schemeClr val="dk1"/>
              </a:solidFill>
              <a:effectLst/>
              <a:latin typeface="+mn-lt"/>
              <a:ea typeface="+mn-ea"/>
              <a:cs typeface="+mn-cs"/>
            </a:rPr>
            <a:t> WEEK 39</a:t>
          </a:r>
          <a:r>
            <a:rPr lang="en-US" sz="1100" baseline="0">
              <a:solidFill>
                <a:schemeClr val="dk1"/>
              </a:solidFill>
              <a:effectLst/>
              <a:latin typeface="+mn-lt"/>
              <a:ea typeface="+mn-ea"/>
              <a:cs typeface="+mn-cs"/>
            </a:rPr>
            <a:t>:</a:t>
          </a:r>
          <a:endParaRPr lang="en-US">
            <a:effectLst/>
          </a:endParaRPr>
        </a:p>
        <a:p>
          <a:r>
            <a:rPr lang="en-US" sz="1100" baseline="0">
              <a:solidFill>
                <a:schemeClr val="dk1"/>
              </a:solidFill>
              <a:effectLst/>
              <a:latin typeface="+mn-lt"/>
              <a:ea typeface="+mn-ea"/>
              <a:cs typeface="+mn-cs"/>
            </a:rPr>
            <a:t>- Se observa una m</a:t>
          </a:r>
          <a:r>
            <a:rPr lang="en-US" sz="1100">
              <a:solidFill>
                <a:schemeClr val="dk1"/>
              </a:solidFill>
              <a:effectLst/>
              <a:latin typeface="+mn-lt"/>
              <a:ea typeface="+mn-ea"/>
              <a:cs typeface="+mn-cs"/>
            </a:rPr>
            <a:t>ejora en el</a:t>
          </a:r>
          <a:r>
            <a:rPr lang="en-US" sz="1100" baseline="0">
              <a:solidFill>
                <a:schemeClr val="dk1"/>
              </a:solidFill>
              <a:effectLst/>
              <a:latin typeface="+mn-lt"/>
              <a:ea typeface="+mn-ea"/>
              <a:cs typeface="+mn-cs"/>
            </a:rPr>
            <a:t> pronóstico de 0.7MM de cajas, debido principalmente a cambios en la curva de precios. </a:t>
          </a:r>
          <a:endParaRPr lang="en-US">
            <a:effectLst/>
          </a:endParaRPr>
        </a:p>
        <a:p>
          <a:r>
            <a:rPr lang="en-US" sz="1100" baseline="0">
              <a:solidFill>
                <a:schemeClr val="dk1"/>
              </a:solidFill>
              <a:effectLst/>
              <a:latin typeface="+mn-lt"/>
              <a:ea typeface="+mn-ea"/>
              <a:cs typeface="+mn-cs"/>
            </a:rPr>
            <a:t>- En Calendar se observa una recuperación de 300mil cajas vs W39, por actualización del calendario de feriados, que mostraron aumentos en los días de delivery en abril y julio</a:t>
          </a:r>
          <a:endParaRPr lang="en-US">
            <a:effectLst/>
          </a:endParaRPr>
        </a:p>
        <a:p>
          <a:pPr eaLnBrk="1" fontAlgn="auto" latinLnBrk="0" hangingPunct="1"/>
          <a:r>
            <a:rPr lang="en-US" sz="1100" baseline="0">
              <a:solidFill>
                <a:schemeClr val="dk1"/>
              </a:solidFill>
              <a:effectLst/>
              <a:latin typeface="+mn-lt"/>
              <a:ea typeface="+mn-ea"/>
              <a:cs typeface="+mn-cs"/>
            </a:rPr>
            <a:t>- El ICC  actualiza septiembre cambiando la tendencia de crecimiento y mostrando una caída de -4%, resultando en una pérdida de 70mil cajas</a:t>
          </a:r>
          <a:endParaRPr lang="en-US">
            <a:effectLst/>
          </a:endParaRPr>
        </a:p>
        <a:p>
          <a:pPr eaLnBrk="1" fontAlgn="auto" latinLnBrk="0" hangingPunct="1"/>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Affordability</a:t>
          </a:r>
          <a:r>
            <a:rPr lang="en-US" sz="1100" baseline="0">
              <a:solidFill>
                <a:schemeClr val="dk1"/>
              </a:solidFill>
              <a:effectLst/>
              <a:latin typeface="+mn-lt"/>
              <a:ea typeface="+mn-ea"/>
              <a:cs typeface="+mn-cs"/>
            </a:rPr>
            <a:t>  se mueve por los aumentos en el último trimestre del año, ocasionando esta caída de 500mil cajas</a:t>
          </a:r>
          <a:endParaRPr lang="en-US">
            <a:effectLst/>
          </a:endParaRPr>
        </a:p>
        <a:p>
          <a:pPr eaLnBrk="1" fontAlgn="auto" latinLnBrk="0" hangingPunct="1"/>
          <a:r>
            <a:rPr lang="en-US" sz="1100">
              <a:solidFill>
                <a:schemeClr val="dk1"/>
              </a:solidFill>
              <a:effectLst/>
              <a:latin typeface="+mn-lt"/>
              <a:ea typeface="+mn-ea"/>
              <a:cs typeface="+mn-cs"/>
            </a:rPr>
            <a:t>- Competitividad crece</a:t>
          </a:r>
          <a:r>
            <a:rPr lang="en-US" sz="1100" baseline="0">
              <a:solidFill>
                <a:schemeClr val="dk1"/>
              </a:solidFill>
              <a:effectLst/>
              <a:latin typeface="+mn-lt"/>
              <a:ea typeface="+mn-ea"/>
              <a:cs typeface="+mn-cs"/>
            </a:rPr>
            <a:t> 3%, luego de una recalibración del GAP basado en la actualización de la cobertura de aumentos que hace la competencia vs KO, visto en Nielsen</a:t>
          </a:r>
          <a:endParaRPr lang="en-US">
            <a:effectLst/>
          </a:endParaRPr>
        </a:p>
        <a:p>
          <a:pPr eaLnBrk="1" fontAlgn="auto" latinLnBrk="0" hangingPunct="1"/>
          <a:r>
            <a:rPr lang="en-US" sz="1100" baseline="0">
              <a:solidFill>
                <a:schemeClr val="dk1"/>
              </a:solidFill>
              <a:effectLst/>
              <a:latin typeface="+mn-lt"/>
              <a:ea typeface="+mn-ea"/>
              <a:cs typeface="+mn-cs"/>
            </a:rPr>
            <a:t>- Weather actualiza el real de septiembre mostrándose más caluroso de lo que pronósticó, y así mismo un octubre, tendrá una temperatura más alta que la vista en W39</a:t>
          </a:r>
          <a:endParaRPr lang="en-US">
            <a:effectLst/>
          </a:endParaRPr>
        </a:p>
        <a:p>
          <a:r>
            <a:rPr lang="en-US" sz="1100" b="1">
              <a:solidFill>
                <a:schemeClr val="dk1"/>
              </a:solidFill>
              <a:effectLst/>
              <a:latin typeface="+mn-lt"/>
              <a:ea typeface="+mn-ea"/>
              <a:cs typeface="+mn-cs"/>
            </a:rPr>
            <a:t>VERSUS 2019:</a:t>
          </a:r>
          <a:endParaRPr lang="en-US">
            <a:effectLst/>
          </a:endParaRPr>
        </a:p>
        <a:p>
          <a:r>
            <a:rPr lang="en-US" sz="1100">
              <a:solidFill>
                <a:schemeClr val="dk1"/>
              </a:solidFill>
              <a:effectLst/>
              <a:latin typeface="+mn-lt"/>
              <a:ea typeface="+mn-ea"/>
              <a:cs typeface="+mn-cs"/>
            </a:rPr>
            <a:t>-  Arca mantiene</a:t>
          </a:r>
          <a:r>
            <a:rPr lang="en-US" sz="1100" baseline="0">
              <a:solidFill>
                <a:schemeClr val="dk1"/>
              </a:solidFill>
              <a:effectLst/>
              <a:latin typeface="+mn-lt"/>
              <a:ea typeface="+mn-ea"/>
              <a:cs typeface="+mn-cs"/>
            </a:rPr>
            <a:t> su caída en 6% respecto al año anterior, principalmente por el GAP de precios con la competencia. </a:t>
          </a:r>
          <a:endParaRPr lang="en-US">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83343</xdr:colOff>
      <xdr:row>0</xdr:row>
      <xdr:rowOff>47625</xdr:rowOff>
    </xdr:from>
    <xdr:to>
      <xdr:col>0</xdr:col>
      <xdr:colOff>469558</xdr:colOff>
      <xdr:row>0</xdr:row>
      <xdr:rowOff>353921</xdr:rowOff>
    </xdr:to>
    <xdr:pic macro="[1]!volver">
      <xdr:nvPicPr>
        <xdr:cNvPr id="2" name="Imagen 1">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343" y="47625"/>
          <a:ext cx="386215" cy="306296"/>
        </a:xfrm>
        <a:prstGeom prst="rect">
          <a:avLst/>
        </a:prstGeom>
      </xdr:spPr>
    </xdr:pic>
    <xdr:clientData/>
  </xdr:twoCellAnchor>
  <xdr:twoCellAnchor editAs="oneCell">
    <xdr:from>
      <xdr:col>0</xdr:col>
      <xdr:colOff>1396202</xdr:colOff>
      <xdr:row>0</xdr:row>
      <xdr:rowOff>23812</xdr:rowOff>
    </xdr:from>
    <xdr:to>
      <xdr:col>0</xdr:col>
      <xdr:colOff>1777202</xdr:colOff>
      <xdr:row>0</xdr:row>
      <xdr:rowOff>403225</xdr:rowOff>
    </xdr:to>
    <xdr:pic>
      <xdr:nvPicPr>
        <xdr:cNvPr id="3" name="Imagen 2" descr="File:&lt;strong&gt;Home&lt;/strong&gt; &lt;strong&gt;Icon&lt;/strong&gt;.svg - Wikimedia Commons">
          <a:hlinkClick xmlns:r="http://schemas.openxmlformats.org/officeDocument/2006/relationships" r:id="rId3"/>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96202" y="23812"/>
          <a:ext cx="381000" cy="37941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0</xdr:col>
      <xdr:colOff>433840</xdr:colOff>
      <xdr:row>1</xdr:row>
      <xdr:rowOff>20546</xdr:rowOff>
    </xdr:to>
    <xdr:pic macro="[1]!volver">
      <xdr:nvPicPr>
        <xdr:cNvPr id="2" name="Imagen 1">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7625" y="47625"/>
          <a:ext cx="386215" cy="306296"/>
        </a:xfrm>
        <a:prstGeom prst="rect">
          <a:avLst/>
        </a:prstGeom>
      </xdr:spPr>
    </xdr:pic>
    <xdr:clientData/>
  </xdr:twoCellAnchor>
  <xdr:twoCellAnchor>
    <xdr:from>
      <xdr:col>11</xdr:col>
      <xdr:colOff>0</xdr:colOff>
      <xdr:row>23</xdr:row>
      <xdr:rowOff>71437</xdr:rowOff>
    </xdr:from>
    <xdr:to>
      <xdr:col>12</xdr:col>
      <xdr:colOff>0</xdr:colOff>
      <xdr:row>35</xdr:row>
      <xdr:rowOff>35718</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10322719" y="4786312"/>
          <a:ext cx="8164287" cy="22502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VS</a:t>
          </a:r>
          <a:r>
            <a:rPr lang="en-US" sz="1100" b="1" baseline="0">
              <a:solidFill>
                <a:schemeClr val="dk1"/>
              </a:solidFill>
              <a:effectLst/>
              <a:latin typeface="+mn-lt"/>
              <a:ea typeface="+mn-ea"/>
              <a:cs typeface="+mn-cs"/>
            </a:rPr>
            <a:t> WEEK 39</a:t>
          </a:r>
          <a:r>
            <a:rPr lang="en-US" sz="1100" baseline="0">
              <a:solidFill>
                <a:schemeClr val="dk1"/>
              </a:solidFill>
              <a:effectLst/>
              <a:latin typeface="+mn-lt"/>
              <a:ea typeface="+mn-ea"/>
              <a:cs typeface="+mn-cs"/>
            </a:rPr>
            <a:t>:</a:t>
          </a:r>
          <a:endParaRPr lang="en-US">
            <a:effectLst/>
          </a:endParaRPr>
        </a:p>
        <a:p>
          <a:r>
            <a:rPr lang="en-US" sz="1100" baseline="0">
              <a:solidFill>
                <a:schemeClr val="dk1"/>
              </a:solidFill>
              <a:effectLst/>
              <a:latin typeface="+mn-lt"/>
              <a:ea typeface="+mn-ea"/>
              <a:cs typeface="+mn-cs"/>
            </a:rPr>
            <a:t>- Las ventas caen 0.2% debido a cambios en Calendar y Affordability </a:t>
          </a:r>
          <a:endParaRPr lang="en-US">
            <a:effectLst/>
          </a:endParaRPr>
        </a:p>
        <a:p>
          <a:r>
            <a:rPr lang="en-US" sz="1100" baseline="0">
              <a:solidFill>
                <a:schemeClr val="dk1"/>
              </a:solidFill>
              <a:effectLst/>
              <a:latin typeface="+mn-lt"/>
              <a:ea typeface="+mn-ea"/>
              <a:cs typeface="+mn-cs"/>
            </a:rPr>
            <a:t>-  En Calendar se observa una diferencia de 300mil cajas vs W39, por actualización del calendario de, que tuvo un día menos en abril.</a:t>
          </a:r>
          <a:endParaRPr lang="en-US">
            <a:effectLst/>
          </a:endParaRPr>
        </a:p>
        <a:p>
          <a:pPr eaLnBrk="1" fontAlgn="auto" latinLnBrk="0" hangingPunct="1"/>
          <a:r>
            <a:rPr lang="en-US" sz="1100" baseline="0">
              <a:solidFill>
                <a:schemeClr val="dk1"/>
              </a:solidFill>
              <a:effectLst/>
              <a:latin typeface="+mn-lt"/>
              <a:ea typeface="+mn-ea"/>
              <a:cs typeface="+mn-cs"/>
            </a:rPr>
            <a:t>- El ICC  actualiza septiembre cambiando la tendencia de crecimiento y mostrando una caída de -4%, resultando en una pérdida de 135mil cajas</a:t>
          </a:r>
          <a:endParaRPr lang="en-US">
            <a:effectLst/>
          </a:endParaRPr>
        </a:p>
        <a:p>
          <a:pPr eaLnBrk="1" fontAlgn="auto" latinLnBrk="0" hangingPunct="1"/>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Affordability</a:t>
          </a:r>
          <a:r>
            <a:rPr lang="en-US" sz="1100" baseline="0">
              <a:solidFill>
                <a:schemeClr val="dk1"/>
              </a:solidFill>
              <a:effectLst/>
              <a:latin typeface="+mn-lt"/>
              <a:ea typeface="+mn-ea"/>
              <a:cs typeface="+mn-cs"/>
            </a:rPr>
            <a:t> se mueve por los aumentos en el último cuatrimestre del año, resultando en esta caída de 680mil cajas</a:t>
          </a:r>
          <a:endParaRPr lang="en-US">
            <a:effectLst/>
          </a:endParaRPr>
        </a:p>
        <a:p>
          <a:pPr eaLnBrk="1" fontAlgn="auto" latinLnBrk="0" hangingPunct="1"/>
          <a:r>
            <a:rPr lang="en-US" sz="1100">
              <a:solidFill>
                <a:schemeClr val="dk1"/>
              </a:solidFill>
              <a:effectLst/>
              <a:latin typeface="+mn-lt"/>
              <a:ea typeface="+mn-ea"/>
              <a:cs typeface="+mn-cs"/>
            </a:rPr>
            <a:t>- Competitividad crece</a:t>
          </a:r>
          <a:r>
            <a:rPr lang="en-US" sz="1100" baseline="0">
              <a:solidFill>
                <a:schemeClr val="dk1"/>
              </a:solidFill>
              <a:effectLst/>
              <a:latin typeface="+mn-lt"/>
              <a:ea typeface="+mn-ea"/>
              <a:cs typeface="+mn-cs"/>
            </a:rPr>
            <a:t> 5%, luego de la recalibración del GAP basado en la actualización de la cobertura de aumentos que hace la competencia vs KO, visto en Nielsen</a:t>
          </a:r>
          <a:endParaRPr lang="en-US">
            <a:effectLst/>
          </a:endParaRPr>
        </a:p>
        <a:p>
          <a:pPr eaLnBrk="1" fontAlgn="auto" latinLnBrk="0" hangingPunct="1"/>
          <a:r>
            <a:rPr lang="en-US" sz="1100" baseline="0">
              <a:solidFill>
                <a:schemeClr val="dk1"/>
              </a:solidFill>
              <a:effectLst/>
              <a:latin typeface="+mn-lt"/>
              <a:ea typeface="+mn-ea"/>
              <a:cs typeface="+mn-cs"/>
            </a:rPr>
            <a:t>- Weather actualiza el real de septiembre mostrándose más caluroso de lo que pronósticó, y así mismo un octubre, tendrá una temperatura más alta que la vista en W39</a:t>
          </a:r>
          <a:endParaRPr lang="en-US">
            <a:effectLst/>
          </a:endParaRPr>
        </a:p>
        <a:p>
          <a:r>
            <a:rPr lang="en-US" sz="1100" b="1">
              <a:solidFill>
                <a:schemeClr val="dk1"/>
              </a:solidFill>
              <a:effectLst/>
              <a:latin typeface="+mn-lt"/>
              <a:ea typeface="+mn-ea"/>
              <a:cs typeface="+mn-cs"/>
            </a:rPr>
            <a:t>VERSUS 2019:</a:t>
          </a:r>
          <a:endParaRPr lang="en-US">
            <a:effectLst/>
          </a:endParaRPr>
        </a:p>
        <a:p>
          <a:r>
            <a:rPr lang="en-US" sz="1100">
              <a:solidFill>
                <a:schemeClr val="dk1"/>
              </a:solidFill>
              <a:effectLst/>
              <a:latin typeface="+mn-lt"/>
              <a:ea typeface="+mn-ea"/>
              <a:cs typeface="+mn-cs"/>
            </a:rPr>
            <a:t>-  FEMSA cae</a:t>
          </a:r>
          <a:r>
            <a:rPr lang="en-US" sz="1100" baseline="0">
              <a:solidFill>
                <a:schemeClr val="dk1"/>
              </a:solidFill>
              <a:effectLst/>
              <a:latin typeface="+mn-lt"/>
              <a:ea typeface="+mn-ea"/>
              <a:cs typeface="+mn-cs"/>
            </a:rPr>
            <a:t> 3.2% impulsado por el  aumento del GAP vs 2019, en un 3.5%</a:t>
          </a:r>
          <a:endParaRPr lang="en-US">
            <a:effectLst/>
          </a:endParaRPr>
        </a:p>
      </xdr:txBody>
    </xdr:sp>
    <xdr:clientData/>
  </xdr:twoCellAnchor>
  <xdr:twoCellAnchor>
    <xdr:from>
      <xdr:col>11</xdr:col>
      <xdr:colOff>11905</xdr:colOff>
      <xdr:row>2</xdr:row>
      <xdr:rowOff>59532</xdr:rowOff>
    </xdr:from>
    <xdr:to>
      <xdr:col>11</xdr:col>
      <xdr:colOff>6822280</xdr:colOff>
      <xdr:row>14</xdr:row>
      <xdr:rowOff>154782</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10334624" y="773907"/>
          <a:ext cx="6810375" cy="238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VS</a:t>
          </a:r>
          <a:r>
            <a:rPr lang="en-US" sz="1100" b="1" baseline="0">
              <a:solidFill>
                <a:schemeClr val="dk1"/>
              </a:solidFill>
              <a:effectLst/>
              <a:latin typeface="+mn-lt"/>
              <a:ea typeface="+mn-ea"/>
              <a:cs typeface="+mn-cs"/>
            </a:rPr>
            <a:t> WEEK 43</a:t>
          </a:r>
          <a:r>
            <a:rPr lang="en-US" sz="1100" baseline="0">
              <a:solidFill>
                <a:schemeClr val="dk1"/>
              </a:solidFill>
              <a:effectLst/>
              <a:latin typeface="+mn-lt"/>
              <a:ea typeface="+mn-ea"/>
              <a:cs typeface="+mn-cs"/>
            </a:rPr>
            <a:t>:</a:t>
          </a:r>
          <a:endParaRPr lang="en-US">
            <a:effectLst/>
          </a:endParaRPr>
        </a:p>
        <a:p>
          <a:r>
            <a:rPr lang="en-US" sz="1100" baseline="0">
              <a:solidFill>
                <a:schemeClr val="dk1"/>
              </a:solidFill>
              <a:effectLst/>
              <a:latin typeface="+mn-lt"/>
              <a:ea typeface="+mn-ea"/>
              <a:cs typeface="+mn-cs"/>
            </a:rPr>
            <a:t>- Femsa cae 0.8% impulsado por caídas en Economy y Weather</a:t>
          </a:r>
        </a:p>
        <a:p>
          <a:endParaRPr lang="en-US">
            <a:effectLst/>
          </a:endParaRPr>
        </a:p>
        <a:p>
          <a:r>
            <a:rPr lang="en-US" sz="1100" baseline="0">
              <a:solidFill>
                <a:schemeClr val="dk1"/>
              </a:solidFill>
              <a:effectLst/>
              <a:latin typeface="+mn-lt"/>
              <a:ea typeface="+mn-ea"/>
              <a:cs typeface="+mn-cs"/>
            </a:rPr>
            <a:t>- El ICC  varía +2% vs 2019, cuando el W43 estaba subiendo 4.3% generando un pérdida de casi un millón de cajas</a:t>
          </a:r>
        </a:p>
        <a:p>
          <a:endParaRPr lang="en-US">
            <a:effectLst/>
          </a:endParaRPr>
        </a:p>
        <a:p>
          <a:pPr eaLnBrk="1" fontAlgn="auto" latinLnBrk="0" hangingPunct="1"/>
          <a:r>
            <a:rPr lang="en-US" sz="1100">
              <a:solidFill>
                <a:schemeClr val="dk1"/>
              </a:solidFill>
              <a:effectLst/>
              <a:latin typeface="+mn-lt"/>
              <a:ea typeface="+mn-ea"/>
              <a:cs typeface="+mn-cs"/>
            </a:rPr>
            <a:t>- No hubo cambios en las curvas de precios</a:t>
          </a:r>
          <a:r>
            <a:rPr lang="en-US" sz="1100" baseline="0">
              <a:solidFill>
                <a:schemeClr val="dk1"/>
              </a:solidFill>
              <a:effectLst/>
              <a:latin typeface="+mn-lt"/>
              <a:ea typeface="+mn-ea"/>
              <a:cs typeface="+mn-cs"/>
            </a:rPr>
            <a:t> ni en el GAP</a:t>
          </a:r>
        </a:p>
        <a:p>
          <a:pPr eaLnBrk="1" fontAlgn="auto" latinLnBrk="0" hangingPunct="1"/>
          <a:endParaRPr lang="en-US">
            <a:effectLst/>
          </a:endParaRPr>
        </a:p>
        <a:p>
          <a:r>
            <a:rPr lang="en-US" sz="1100" baseline="0">
              <a:solidFill>
                <a:schemeClr val="dk1"/>
              </a:solidFill>
              <a:effectLst/>
              <a:latin typeface="+mn-lt"/>
              <a:ea typeface="+mn-ea"/>
              <a:cs typeface="+mn-cs"/>
            </a:rPr>
            <a:t>- Weather actualiza el real de octubre y reproyecta noviembre y diciembre, por lo que ahora se espera un último trimestre menos cálido restando 200k cajas</a:t>
          </a:r>
        </a:p>
        <a:p>
          <a:endParaRPr lang="en-US" sz="1100" b="1" baseline="0">
            <a:solidFill>
              <a:schemeClr val="dk1"/>
            </a:solidFill>
            <a:effectLst/>
            <a:latin typeface="+mn-lt"/>
            <a:ea typeface="+mn-ea"/>
            <a:cs typeface="+mn-cs"/>
          </a:endParaRPr>
        </a:p>
        <a:p>
          <a:r>
            <a:rPr lang="en-US" sz="1100" b="1">
              <a:solidFill>
                <a:schemeClr val="dk1"/>
              </a:solidFill>
              <a:effectLst/>
              <a:latin typeface="+mn-lt"/>
              <a:ea typeface="+mn-ea"/>
              <a:cs typeface="+mn-cs"/>
            </a:rPr>
            <a:t>VERSUS 2019:</a:t>
          </a:r>
          <a:endParaRPr lang="en-US">
            <a:effectLst/>
          </a:endParaRPr>
        </a:p>
        <a:p>
          <a:r>
            <a:rPr lang="en-US" sz="1100">
              <a:solidFill>
                <a:schemeClr val="dk1"/>
              </a:solidFill>
              <a:effectLst/>
              <a:latin typeface="+mn-lt"/>
              <a:ea typeface="+mn-ea"/>
              <a:cs typeface="+mn-cs"/>
            </a:rPr>
            <a:t>- Arca cae</a:t>
          </a:r>
          <a:r>
            <a:rPr lang="en-US" sz="1100" baseline="0">
              <a:solidFill>
                <a:schemeClr val="dk1"/>
              </a:solidFill>
              <a:effectLst/>
              <a:latin typeface="+mn-lt"/>
              <a:ea typeface="+mn-ea"/>
              <a:cs typeface="+mn-cs"/>
            </a:rPr>
            <a:t> 4</a:t>
          </a:r>
          <a:r>
            <a:rPr lang="en-US" sz="1100">
              <a:solidFill>
                <a:schemeClr val="dk1"/>
              </a:solidFill>
              <a:effectLst/>
              <a:latin typeface="+mn-lt"/>
              <a:ea typeface="+mn-ea"/>
              <a:cs typeface="+mn-cs"/>
            </a:rPr>
            <a:t>% respecto al año anterior impulsado un</a:t>
          </a:r>
          <a:r>
            <a:rPr lang="en-US" sz="1100" baseline="0">
              <a:solidFill>
                <a:schemeClr val="dk1"/>
              </a:solidFill>
              <a:effectLst/>
              <a:latin typeface="+mn-lt"/>
              <a:ea typeface="+mn-ea"/>
              <a:cs typeface="+mn-cs"/>
            </a:rPr>
            <a:t> aumento del GAP de 3.5% </a:t>
          </a:r>
          <a:endParaRPr lang="en-US">
            <a:effectLst/>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107156</xdr:colOff>
      <xdr:row>0</xdr:row>
      <xdr:rowOff>35719</xdr:rowOff>
    </xdr:from>
    <xdr:to>
      <xdr:col>0</xdr:col>
      <xdr:colOff>493371</xdr:colOff>
      <xdr:row>0</xdr:row>
      <xdr:rowOff>342015</xdr:rowOff>
    </xdr:to>
    <xdr:pic macro="[1]!volver">
      <xdr:nvPicPr>
        <xdr:cNvPr id="2" name="Imagen 1">
          <a:hlinkClick xmlns:r="http://schemas.openxmlformats.org/officeDocument/2006/relationships" r:id="rId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156" y="35719"/>
          <a:ext cx="386215" cy="306296"/>
        </a:xfrm>
        <a:prstGeom prst="rect">
          <a:avLst/>
        </a:prstGeom>
      </xdr:spPr>
    </xdr:pic>
    <xdr:clientData/>
  </xdr:twoCellAnchor>
  <xdr:twoCellAnchor editAs="oneCell">
    <xdr:from>
      <xdr:col>0</xdr:col>
      <xdr:colOff>1503352</xdr:colOff>
      <xdr:row>0</xdr:row>
      <xdr:rowOff>11906</xdr:rowOff>
    </xdr:from>
    <xdr:to>
      <xdr:col>0</xdr:col>
      <xdr:colOff>1884352</xdr:colOff>
      <xdr:row>1</xdr:row>
      <xdr:rowOff>794</xdr:rowOff>
    </xdr:to>
    <xdr:pic>
      <xdr:nvPicPr>
        <xdr:cNvPr id="3" name="Imagen 2" descr="File:&lt;strong&gt;Home&lt;/strong&gt; &lt;strong&gt;Icon&lt;/strong&gt;.svg - Wikimedia Commons">
          <a:hlinkClick xmlns:r="http://schemas.openxmlformats.org/officeDocument/2006/relationships" r:id="rId3"/>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03352" y="11906"/>
          <a:ext cx="381000" cy="37941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47625</xdr:rowOff>
    </xdr:from>
    <xdr:to>
      <xdr:col>0</xdr:col>
      <xdr:colOff>481465</xdr:colOff>
      <xdr:row>1</xdr:row>
      <xdr:rowOff>20546</xdr:rowOff>
    </xdr:to>
    <xdr:pic macro="[1]!volver">
      <xdr:nvPicPr>
        <xdr:cNvPr id="2" name="Imagen 1">
          <a:hlinkClick xmlns:r="http://schemas.openxmlformats.org/officeDocument/2006/relationships" r:id="rId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50" y="47625"/>
          <a:ext cx="386215" cy="306296"/>
        </a:xfrm>
        <a:prstGeom prst="rect">
          <a:avLst/>
        </a:prstGeom>
      </xdr:spPr>
    </xdr:pic>
    <xdr:clientData/>
  </xdr:twoCellAnchor>
  <xdr:twoCellAnchor>
    <xdr:from>
      <xdr:col>13</xdr:col>
      <xdr:colOff>14432</xdr:colOff>
      <xdr:row>23</xdr:row>
      <xdr:rowOff>72158</xdr:rowOff>
    </xdr:from>
    <xdr:to>
      <xdr:col>14</xdr:col>
      <xdr:colOff>0</xdr:colOff>
      <xdr:row>36</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11003901" y="5013252"/>
          <a:ext cx="8027338" cy="2809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VERSUS</a:t>
          </a:r>
          <a:r>
            <a:rPr lang="en-US" sz="1100" b="1" baseline="0">
              <a:solidFill>
                <a:schemeClr val="dk1"/>
              </a:solidFill>
              <a:effectLst/>
              <a:latin typeface="+mn-lt"/>
              <a:ea typeface="+mn-ea"/>
              <a:cs typeface="+mn-cs"/>
            </a:rPr>
            <a:t> WEEK 39</a:t>
          </a:r>
          <a:r>
            <a:rPr lang="en-US" sz="1100" baseline="0">
              <a:solidFill>
                <a:schemeClr val="dk1"/>
              </a:solidFill>
              <a:effectLst/>
              <a:latin typeface="+mn-lt"/>
              <a:ea typeface="+mn-ea"/>
              <a:cs typeface="+mn-cs"/>
            </a:rPr>
            <a:t>:</a:t>
          </a:r>
          <a:endParaRPr lang="en-US">
            <a:effectLst/>
          </a:endParaRPr>
        </a:p>
        <a:p>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Lee cae 0.7%  impulsado por pequeños cambios en affordability y competitividad</a:t>
          </a:r>
          <a:endParaRPr lang="en-US">
            <a:effectLst/>
          </a:endParaRPr>
        </a:p>
        <a:p>
          <a:r>
            <a:rPr lang="en-US" sz="1100" baseline="0">
              <a:solidFill>
                <a:schemeClr val="dk1"/>
              </a:solidFill>
              <a:effectLst/>
              <a:latin typeface="+mn-lt"/>
              <a:ea typeface="+mn-ea"/>
              <a:cs typeface="+mn-cs"/>
            </a:rPr>
            <a:t>- En relacion a Economy, Ecolatina cambio nuevamente la historia (2019)  del PBI, debido a que los datos que publica el INDEC aún son provisorios, adicionalmente noviembre y diciembre son mucho más negativos y esto queda compensado con los cambios del resto del año. </a:t>
          </a:r>
          <a:endParaRPr lang="en-US">
            <a:effectLst/>
          </a:endParaRPr>
        </a:p>
        <a:p>
          <a:pPr eaLnBrk="1" fontAlgn="auto" latinLnBrk="0" hangingPunct="1"/>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Affordability</a:t>
          </a:r>
          <a:r>
            <a:rPr lang="en-US" sz="1100" baseline="0">
              <a:solidFill>
                <a:schemeClr val="dk1"/>
              </a:solidFill>
              <a:effectLst/>
              <a:latin typeface="+mn-lt"/>
              <a:ea typeface="+mn-ea"/>
              <a:cs typeface="+mn-cs"/>
            </a:rPr>
            <a:t> se mueve por los aumentos en septiembre, octubre y noviembre respecto a W39, resultando en esta caída de 247mil cajas</a:t>
          </a:r>
          <a:endParaRPr lang="en-US">
            <a:effectLst/>
          </a:endParaRPr>
        </a:p>
        <a:p>
          <a:pPr eaLnBrk="1" fontAlgn="auto" latinLnBrk="0" hangingPunct="1"/>
          <a:r>
            <a:rPr lang="en-US" sz="1100">
              <a:solidFill>
                <a:schemeClr val="dk1"/>
              </a:solidFill>
              <a:effectLst/>
              <a:latin typeface="+mn-lt"/>
              <a:ea typeface="+mn-ea"/>
              <a:cs typeface="+mn-cs"/>
            </a:rPr>
            <a:t>- Competitividad cae</a:t>
          </a:r>
          <a:r>
            <a:rPr lang="en-US" sz="1100" baseline="0">
              <a:solidFill>
                <a:schemeClr val="dk1"/>
              </a:solidFill>
              <a:effectLst/>
              <a:latin typeface="+mn-lt"/>
              <a:ea typeface="+mn-ea"/>
              <a:cs typeface="+mn-cs"/>
            </a:rPr>
            <a:t> 5%, luego de la recalibración del GAP basado en la actualización de la cobertura de aumentos que hace la competencia vs KO, visto en Nielsen </a:t>
          </a:r>
          <a:endParaRPr lang="en-US">
            <a:effectLst/>
          </a:endParaRPr>
        </a:p>
        <a:p>
          <a:pPr eaLnBrk="1" fontAlgn="auto" latinLnBrk="0" hangingPunct="1"/>
          <a:r>
            <a:rPr lang="en-US" sz="1100" baseline="0">
              <a:solidFill>
                <a:schemeClr val="dk1"/>
              </a:solidFill>
              <a:effectLst/>
              <a:latin typeface="+mn-lt"/>
              <a:ea typeface="+mn-ea"/>
              <a:cs typeface="+mn-cs"/>
            </a:rPr>
            <a:t>- Weather actualiza el real de septiembre mostrándose más caluroso de lo que pronósticó, y así mismo un octubre, tendrá una temperatura más alta que la vista en W39</a:t>
          </a:r>
          <a:endParaRPr lang="en-US">
            <a:effectLst/>
          </a:endParaRPr>
        </a:p>
        <a:p>
          <a:r>
            <a:rPr lang="en-US" sz="1100" b="1">
              <a:solidFill>
                <a:schemeClr val="dk1"/>
              </a:solidFill>
              <a:effectLst/>
              <a:latin typeface="+mn-lt"/>
              <a:ea typeface="+mn-ea"/>
              <a:cs typeface="+mn-cs"/>
            </a:rPr>
            <a:t>VERSUS 2019:</a:t>
          </a:r>
          <a:endParaRPr lang="en-US">
            <a:effectLst/>
          </a:endParaRPr>
        </a:p>
        <a:p>
          <a:r>
            <a:rPr lang="en-US" sz="1100">
              <a:solidFill>
                <a:schemeClr val="dk1"/>
              </a:solidFill>
              <a:effectLst/>
              <a:latin typeface="+mn-lt"/>
              <a:ea typeface="+mn-ea"/>
              <a:cs typeface="+mn-cs"/>
            </a:rPr>
            <a:t>-  FEMSA cae</a:t>
          </a:r>
          <a:r>
            <a:rPr lang="en-US" sz="1100" baseline="0">
              <a:solidFill>
                <a:schemeClr val="dk1"/>
              </a:solidFill>
              <a:effectLst/>
              <a:latin typeface="+mn-lt"/>
              <a:ea typeface="+mn-ea"/>
              <a:cs typeface="+mn-cs"/>
            </a:rPr>
            <a:t> 17.7% impulsado por el  aumento del GAP y Economy</a:t>
          </a:r>
          <a:endParaRPr lang="en-US">
            <a:effectLst/>
          </a:endParaRPr>
        </a:p>
      </xdr:txBody>
    </xdr:sp>
    <xdr:clientData/>
  </xdr:twoCellAnchor>
  <xdr:twoCellAnchor>
    <xdr:from>
      <xdr:col>13</xdr:col>
      <xdr:colOff>0</xdr:colOff>
      <xdr:row>3</xdr:row>
      <xdr:rowOff>95250</xdr:rowOff>
    </xdr:from>
    <xdr:to>
      <xdr:col>14</xdr:col>
      <xdr:colOff>0</xdr:colOff>
      <xdr:row>16</xdr:row>
      <xdr:rowOff>0</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989469" y="1226344"/>
          <a:ext cx="8048625" cy="238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VS</a:t>
          </a:r>
          <a:r>
            <a:rPr lang="en-US" sz="1100" b="1" baseline="0">
              <a:solidFill>
                <a:schemeClr val="dk1"/>
              </a:solidFill>
              <a:effectLst/>
              <a:latin typeface="+mn-lt"/>
              <a:ea typeface="+mn-ea"/>
              <a:cs typeface="+mn-cs"/>
            </a:rPr>
            <a:t> WEEK 43</a:t>
          </a:r>
          <a:r>
            <a:rPr lang="en-US" sz="1100" baseline="0">
              <a:solidFill>
                <a:schemeClr val="dk1"/>
              </a:solidFill>
              <a:effectLst/>
              <a:latin typeface="+mn-lt"/>
              <a:ea typeface="+mn-ea"/>
              <a:cs typeface="+mn-cs"/>
            </a:rPr>
            <a:t>:</a:t>
          </a:r>
          <a:endParaRPr lang="en-US">
            <a:effectLst/>
          </a:endParaRPr>
        </a:p>
        <a:p>
          <a:r>
            <a:rPr lang="en-US" sz="1100" baseline="0">
              <a:solidFill>
                <a:schemeClr val="dk1"/>
              </a:solidFill>
              <a:effectLst/>
              <a:latin typeface="+mn-lt"/>
              <a:ea typeface="+mn-ea"/>
              <a:cs typeface="+mn-cs"/>
            </a:rPr>
            <a:t>- Lee mantiene los mismos niveles de W43</a:t>
          </a:r>
        </a:p>
        <a:p>
          <a:endParaRPr lang="en-US">
            <a:effectLst/>
          </a:endParaRPr>
        </a:p>
        <a:p>
          <a:r>
            <a:rPr lang="en-US" sz="1100" baseline="0">
              <a:solidFill>
                <a:schemeClr val="dk1"/>
              </a:solidFill>
              <a:effectLst/>
              <a:latin typeface="+mn-lt"/>
              <a:ea typeface="+mn-ea"/>
              <a:cs typeface="+mn-cs"/>
            </a:rPr>
            <a:t>- El PBI muestra una caída menor que en W43 por cambios en el últimos trimestre, pasando de -11.9% a -11.4%</a:t>
          </a:r>
        </a:p>
        <a:p>
          <a:endParaRPr lang="en-US">
            <a:effectLst/>
          </a:endParaRPr>
        </a:p>
        <a:p>
          <a:pPr eaLnBrk="1" fontAlgn="auto" latinLnBrk="0" hangingPunct="1"/>
          <a:r>
            <a:rPr lang="en-US" sz="1100">
              <a:solidFill>
                <a:schemeClr val="dk1"/>
              </a:solidFill>
              <a:effectLst/>
              <a:latin typeface="+mn-lt"/>
              <a:ea typeface="+mn-ea"/>
              <a:cs typeface="+mn-cs"/>
            </a:rPr>
            <a:t>- No hubo cambios en las curvas de precios</a:t>
          </a:r>
          <a:r>
            <a:rPr lang="en-US" sz="1100" baseline="0">
              <a:solidFill>
                <a:schemeClr val="dk1"/>
              </a:solidFill>
              <a:effectLst/>
              <a:latin typeface="+mn-lt"/>
              <a:ea typeface="+mn-ea"/>
              <a:cs typeface="+mn-cs"/>
            </a:rPr>
            <a:t> ni en el GAP</a:t>
          </a:r>
        </a:p>
        <a:p>
          <a:pPr eaLnBrk="1" fontAlgn="auto" latinLnBrk="0" hangingPunct="1"/>
          <a:endParaRPr lang="en-US">
            <a:effectLst/>
          </a:endParaRPr>
        </a:p>
        <a:p>
          <a:r>
            <a:rPr lang="en-US" sz="1100" baseline="0">
              <a:solidFill>
                <a:schemeClr val="dk1"/>
              </a:solidFill>
              <a:effectLst/>
              <a:latin typeface="+mn-lt"/>
              <a:ea typeface="+mn-ea"/>
              <a:cs typeface="+mn-cs"/>
            </a:rPr>
            <a:t>- Weather actualiza el real de octubre y reproyecta noviembre mostrándolo más frío que lo pronósticado</a:t>
          </a:r>
        </a:p>
        <a:p>
          <a:endParaRPr lang="en-US" sz="1100" b="1" baseline="0">
            <a:solidFill>
              <a:schemeClr val="dk1"/>
            </a:solidFill>
            <a:effectLst/>
            <a:latin typeface="+mn-lt"/>
            <a:ea typeface="+mn-ea"/>
            <a:cs typeface="+mn-cs"/>
          </a:endParaRPr>
        </a:p>
        <a:p>
          <a:r>
            <a:rPr lang="en-US" sz="1100" b="1">
              <a:solidFill>
                <a:schemeClr val="dk1"/>
              </a:solidFill>
              <a:effectLst/>
              <a:latin typeface="+mn-lt"/>
              <a:ea typeface="+mn-ea"/>
              <a:cs typeface="+mn-cs"/>
            </a:rPr>
            <a:t>VERSUS 2019:</a:t>
          </a:r>
          <a:endParaRPr lang="en-US">
            <a:effectLst/>
          </a:endParaRPr>
        </a:p>
        <a:p>
          <a:r>
            <a:rPr lang="en-US" sz="1100">
              <a:solidFill>
                <a:schemeClr val="dk1"/>
              </a:solidFill>
              <a:effectLst/>
              <a:latin typeface="+mn-lt"/>
              <a:ea typeface="+mn-ea"/>
              <a:cs typeface="+mn-cs"/>
            </a:rPr>
            <a:t>- Lee cae</a:t>
          </a:r>
          <a:r>
            <a:rPr lang="en-US" sz="1100" baseline="0">
              <a:solidFill>
                <a:schemeClr val="dk1"/>
              </a:solidFill>
              <a:effectLst/>
              <a:latin typeface="+mn-lt"/>
              <a:ea typeface="+mn-ea"/>
              <a:cs typeface="+mn-cs"/>
            </a:rPr>
            <a:t> 17.6</a:t>
          </a:r>
          <a:r>
            <a:rPr lang="en-US" sz="1100">
              <a:solidFill>
                <a:schemeClr val="dk1"/>
              </a:solidFill>
              <a:effectLst/>
              <a:latin typeface="+mn-lt"/>
              <a:ea typeface="+mn-ea"/>
              <a:cs typeface="+mn-cs"/>
            </a:rPr>
            <a:t>% respecto al año anterior, generado</a:t>
          </a:r>
          <a:r>
            <a:rPr lang="en-US" sz="1100" baseline="0">
              <a:solidFill>
                <a:schemeClr val="dk1"/>
              </a:solidFill>
              <a:effectLst/>
              <a:latin typeface="+mn-lt"/>
              <a:ea typeface="+mn-ea"/>
              <a:cs typeface="+mn-cs"/>
            </a:rPr>
            <a:t> por la caída del PBI y un aumento tanto en el precio como en el  GAP</a:t>
          </a:r>
          <a:endParaRPr lang="en-US">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uario/Documents/Coca/Modelos%20Coca-Cola/Modelos%20Coca-Cola%202020/Simulador/2020/Argentina/Abril/Simulador%20Argentin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eyre%20Parraga/Documents/Set%20Reporting%20Models/W43/Duetos%20y%20Support%20Octubre%20Orig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YUDA"/>
      <sheetName val="ARG"/>
      <sheetName val="MODELOS"/>
      <sheetName val="Base"/>
      <sheetName val="Variaciones"/>
      <sheetName val="Calculos"/>
      <sheetName val="Graficos"/>
      <sheetName val="ARGENTINA"/>
      <sheetName val="FEMSA"/>
      <sheetName val="ANDINA"/>
      <sheetName val="ARCA"/>
      <sheetName val="LEE"/>
      <sheetName val="BACK GRAFICOS"/>
      <sheetName val="RESUMEN"/>
      <sheetName val="STATISTICAL TREND"/>
      <sheetName val="ESCENARIO POR VARIABLE"/>
      <sheetName val="Soporte"/>
      <sheetName val="Simulador Argentina"/>
    </sheetNames>
    <definedNames>
      <definedName name="andina"/>
      <definedName name="arca"/>
      <definedName name="femsa"/>
      <definedName name="lee"/>
      <definedName name="volver"/>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Argentina DT"/>
      <sheetName val="Andina DT"/>
      <sheetName val="Andina Support"/>
      <sheetName val="Arca DT"/>
      <sheetName val="Arca Support"/>
      <sheetName val="Femsa DT"/>
      <sheetName val="Femsa Support"/>
      <sheetName val="RLee DT"/>
      <sheetName val="RLee Support"/>
      <sheetName val="Bolivia DT"/>
      <sheetName val="Bolivia Support"/>
      <sheetName val="Chile DT"/>
      <sheetName val="Chile Support"/>
      <sheetName val="Peru DT"/>
      <sheetName val="Peru Support"/>
      <sheetName val="Uruguay"/>
      <sheetName val="Uruguay Support"/>
      <sheetName val="Paraguay"/>
      <sheetName val="Paraguay Support"/>
    </sheetNames>
    <sheetDataSet>
      <sheetData sheetId="0" refreshError="1"/>
      <sheetData sheetId="1" refreshError="1"/>
      <sheetData sheetId="2">
        <row r="3">
          <cell r="A3" t="str">
            <v>w43</v>
          </cell>
          <cell r="B3">
            <v>0</v>
          </cell>
          <cell r="C3">
            <v>0</v>
          </cell>
          <cell r="D3">
            <v>0</v>
          </cell>
          <cell r="E3">
            <v>0</v>
          </cell>
          <cell r="F3">
            <v>0</v>
          </cell>
          <cell r="G3">
            <v>0</v>
          </cell>
          <cell r="H3">
            <v>0</v>
          </cell>
          <cell r="I3">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showGridLines="0" tabSelected="1" zoomScale="73" zoomScaleNormal="73" workbookViewId="0"/>
  </sheetViews>
  <sheetFormatPr baseColWidth="10" defaultColWidth="11.5546875" defaultRowHeight="14.4" x14ac:dyDescent="0.3"/>
  <sheetData/>
  <pageMargins left="0.7" right="0.7" top="0.75" bottom="0.75" header="0.3" footer="0.3"/>
  <pageSetup orientation="portrait" r:id="rId1"/>
  <headerFooter>
    <oddFooter>&amp;C&amp;1#&amp;"Calibri"&amp;10&amp;K000000Classified - Confidential</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W39"/>
  <sheetViews>
    <sheetView showGridLines="0" zoomScale="70" zoomScaleNormal="70" workbookViewId="0">
      <pane xSplit="1" ySplit="5" topLeftCell="AD6" activePane="bottomRight" state="frozen"/>
      <selection pane="topRight"/>
      <selection pane="bottomLeft"/>
      <selection pane="bottomRight" activeCell="Z25" sqref="Z25:AC25"/>
    </sheetView>
  </sheetViews>
  <sheetFormatPr baseColWidth="10" defaultColWidth="11.5546875" defaultRowHeight="14.4" x14ac:dyDescent="0.3"/>
  <cols>
    <col min="1" max="1" width="31.109375" bestFit="1" customWidth="1"/>
    <col min="42" max="49" width="11.5546875" style="250"/>
  </cols>
  <sheetData>
    <row r="1" spans="1:49" ht="34.5" customHeight="1" x14ac:dyDescent="0.3">
      <c r="B1" s="315" t="s">
        <v>69</v>
      </c>
      <c r="C1" s="315"/>
      <c r="D1" s="315"/>
      <c r="E1" s="315"/>
      <c r="F1" s="315" t="s">
        <v>80</v>
      </c>
      <c r="G1" s="315"/>
      <c r="H1" s="315"/>
      <c r="I1" s="315"/>
      <c r="J1" s="318" t="s">
        <v>57</v>
      </c>
      <c r="K1" s="318"/>
      <c r="L1" s="318"/>
      <c r="M1" s="318"/>
      <c r="N1" s="321" t="s">
        <v>33</v>
      </c>
      <c r="O1" s="321"/>
      <c r="P1" s="321"/>
      <c r="Q1" s="321"/>
      <c r="R1" s="316" t="s">
        <v>37</v>
      </c>
      <c r="S1" s="316"/>
      <c r="T1" s="316"/>
      <c r="U1" s="316"/>
      <c r="V1" s="315" t="s">
        <v>114</v>
      </c>
      <c r="W1" s="315"/>
      <c r="X1" s="315"/>
      <c r="Y1" s="315"/>
      <c r="Z1" s="316" t="s">
        <v>112</v>
      </c>
      <c r="AA1" s="316"/>
      <c r="AB1" s="316"/>
      <c r="AC1" s="316"/>
      <c r="AD1" s="316" t="s">
        <v>70</v>
      </c>
      <c r="AE1" s="316"/>
      <c r="AF1" s="316"/>
      <c r="AG1" s="316"/>
      <c r="AH1" s="315" t="s">
        <v>77</v>
      </c>
      <c r="AI1" s="315"/>
      <c r="AJ1" s="315"/>
      <c r="AK1" s="315"/>
      <c r="AL1" s="315" t="s">
        <v>32</v>
      </c>
      <c r="AM1" s="315"/>
      <c r="AN1" s="315"/>
      <c r="AO1" s="315"/>
      <c r="AP1" s="315" t="s">
        <v>72</v>
      </c>
      <c r="AQ1" s="315"/>
      <c r="AR1" s="315"/>
      <c r="AS1" s="315"/>
      <c r="AT1" s="315" t="s">
        <v>78</v>
      </c>
      <c r="AU1" s="315"/>
      <c r="AV1" s="315"/>
      <c r="AW1" s="315"/>
    </row>
    <row r="2" spans="1:49" x14ac:dyDescent="0.3">
      <c r="A2" s="38" t="s">
        <v>29</v>
      </c>
      <c r="B2" s="315"/>
      <c r="C2" s="315"/>
      <c r="D2" s="315"/>
      <c r="E2" s="315"/>
      <c r="F2" s="315"/>
      <c r="G2" s="315"/>
      <c r="H2" s="315"/>
      <c r="I2" s="315"/>
      <c r="J2" s="318"/>
      <c r="K2" s="318"/>
      <c r="L2" s="318"/>
      <c r="M2" s="318"/>
      <c r="N2" s="321"/>
      <c r="O2" s="321"/>
      <c r="P2" s="321"/>
      <c r="Q2" s="321"/>
      <c r="R2" s="316"/>
      <c r="S2" s="316"/>
      <c r="T2" s="316"/>
      <c r="U2" s="316"/>
      <c r="V2" s="315"/>
      <c r="W2" s="315"/>
      <c r="X2" s="315"/>
      <c r="Y2" s="315"/>
      <c r="Z2" s="316"/>
      <c r="AA2" s="316"/>
      <c r="AB2" s="316"/>
      <c r="AC2" s="316"/>
      <c r="AD2" s="316"/>
      <c r="AE2" s="316"/>
      <c r="AF2" s="316"/>
      <c r="AG2" s="316"/>
      <c r="AH2" s="315"/>
      <c r="AI2" s="315"/>
      <c r="AJ2" s="315"/>
      <c r="AK2" s="315"/>
      <c r="AL2" s="315"/>
      <c r="AM2" s="315"/>
      <c r="AN2" s="315"/>
      <c r="AO2" s="315"/>
      <c r="AP2" s="315"/>
      <c r="AQ2" s="315"/>
      <c r="AR2" s="315"/>
      <c r="AS2" s="315"/>
      <c r="AT2" s="315"/>
      <c r="AU2" s="315"/>
      <c r="AV2" s="315"/>
      <c r="AW2" s="315"/>
    </row>
    <row r="3" spans="1:49" x14ac:dyDescent="0.3">
      <c r="A3" s="32" t="s">
        <v>30</v>
      </c>
      <c r="B3" s="315"/>
      <c r="C3" s="315"/>
      <c r="D3" s="315"/>
      <c r="E3" s="315"/>
      <c r="F3" s="315"/>
      <c r="G3" s="315"/>
      <c r="H3" s="315"/>
      <c r="I3" s="315"/>
      <c r="J3" s="318"/>
      <c r="K3" s="318"/>
      <c r="L3" s="318"/>
      <c r="M3" s="318"/>
      <c r="N3" s="321"/>
      <c r="O3" s="321"/>
      <c r="P3" s="321"/>
      <c r="Q3" s="321"/>
      <c r="R3" s="316"/>
      <c r="S3" s="316"/>
      <c r="T3" s="316"/>
      <c r="U3" s="316"/>
      <c r="V3" s="315"/>
      <c r="W3" s="315"/>
      <c r="X3" s="315"/>
      <c r="Y3" s="315"/>
      <c r="Z3" s="316"/>
      <c r="AA3" s="316"/>
      <c r="AB3" s="316"/>
      <c r="AC3" s="316"/>
      <c r="AD3" s="316"/>
      <c r="AE3" s="316"/>
      <c r="AF3" s="316"/>
      <c r="AG3" s="316"/>
      <c r="AH3" s="315"/>
      <c r="AI3" s="315"/>
      <c r="AJ3" s="315"/>
      <c r="AK3" s="315"/>
      <c r="AL3" s="315"/>
      <c r="AM3" s="315"/>
      <c r="AN3" s="315"/>
      <c r="AO3" s="315"/>
      <c r="AP3" s="315"/>
      <c r="AQ3" s="315"/>
      <c r="AR3" s="315"/>
      <c r="AS3" s="315"/>
      <c r="AT3" s="315"/>
      <c r="AU3" s="315"/>
      <c r="AV3" s="315"/>
      <c r="AW3" s="315"/>
    </row>
    <row r="4" spans="1:49" ht="14.25" customHeight="1" x14ac:dyDescent="0.3">
      <c r="A4" s="85" t="s">
        <v>42</v>
      </c>
      <c r="B4" s="315"/>
      <c r="C4" s="315"/>
      <c r="D4" s="315"/>
      <c r="E4" s="315"/>
      <c r="F4" s="315"/>
      <c r="G4" s="315"/>
      <c r="H4" s="315"/>
      <c r="I4" s="315"/>
      <c r="J4" s="318"/>
      <c r="K4" s="318"/>
      <c r="L4" s="318"/>
      <c r="M4" s="318"/>
      <c r="N4" s="321"/>
      <c r="O4" s="321"/>
      <c r="P4" s="321"/>
      <c r="Q4" s="321"/>
      <c r="R4" s="316"/>
      <c r="S4" s="316"/>
      <c r="T4" s="316"/>
      <c r="U4" s="316"/>
      <c r="V4" s="315"/>
      <c r="W4" s="315"/>
      <c r="X4" s="315"/>
      <c r="Y4" s="315"/>
      <c r="Z4" s="316"/>
      <c r="AA4" s="316"/>
      <c r="AB4" s="316"/>
      <c r="AC4" s="316"/>
      <c r="AD4" s="316"/>
      <c r="AE4" s="316"/>
      <c r="AF4" s="316"/>
      <c r="AG4" s="316"/>
      <c r="AH4" s="315"/>
      <c r="AI4" s="315"/>
      <c r="AJ4" s="315"/>
      <c r="AK4" s="315"/>
      <c r="AL4" s="315"/>
      <c r="AM4" s="315"/>
      <c r="AN4" s="315"/>
      <c r="AO4" s="315"/>
      <c r="AP4" s="315"/>
      <c r="AQ4" s="315"/>
      <c r="AR4" s="315"/>
      <c r="AS4" s="315"/>
      <c r="AT4" s="315"/>
      <c r="AU4" s="315"/>
      <c r="AV4" s="315"/>
      <c r="AW4" s="315"/>
    </row>
    <row r="5" spans="1:49" s="3" customFormat="1" ht="14.25" customHeight="1" x14ac:dyDescent="0.3">
      <c r="A5" s="82" t="s">
        <v>56</v>
      </c>
      <c r="B5" s="315"/>
      <c r="C5" s="315"/>
      <c r="D5" s="315"/>
      <c r="E5" s="315"/>
      <c r="F5" s="315"/>
      <c r="G5" s="315"/>
      <c r="H5" s="315"/>
      <c r="I5" s="315"/>
      <c r="J5" s="318"/>
      <c r="K5" s="318"/>
      <c r="L5" s="318"/>
      <c r="M5" s="318"/>
      <c r="N5" s="321"/>
      <c r="O5" s="321"/>
      <c r="P5" s="321"/>
      <c r="Q5" s="321"/>
      <c r="R5" s="316"/>
      <c r="S5" s="316"/>
      <c r="T5" s="316"/>
      <c r="U5" s="316"/>
      <c r="V5" s="315"/>
      <c r="W5" s="315"/>
      <c r="X5" s="315"/>
      <c r="Y5" s="315"/>
      <c r="Z5" s="316"/>
      <c r="AA5" s="316"/>
      <c r="AB5" s="316"/>
      <c r="AC5" s="316"/>
      <c r="AD5" s="316"/>
      <c r="AE5" s="316"/>
      <c r="AF5" s="316"/>
      <c r="AG5" s="316"/>
      <c r="AH5" s="315"/>
      <c r="AI5" s="315"/>
      <c r="AJ5" s="315"/>
      <c r="AK5" s="315"/>
      <c r="AL5" s="315"/>
      <c r="AM5" s="315"/>
      <c r="AN5" s="315"/>
      <c r="AO5" s="315"/>
      <c r="AP5" s="315"/>
      <c r="AQ5" s="315"/>
      <c r="AR5" s="315"/>
      <c r="AS5" s="315"/>
      <c r="AT5" s="315"/>
      <c r="AU5" s="315"/>
      <c r="AV5" s="315"/>
      <c r="AW5" s="315"/>
    </row>
    <row r="6" spans="1:49" ht="15" thickBot="1" x14ac:dyDescent="0.35">
      <c r="A6" s="39" t="str">
        <f>"RLee - "&amp;'RLee DT'!A2:K2</f>
        <v>RLee - w47</v>
      </c>
      <c r="B6" s="33"/>
      <c r="C6" s="33"/>
      <c r="D6" s="33"/>
      <c r="E6" s="33"/>
      <c r="F6" s="33"/>
      <c r="G6" s="33"/>
      <c r="J6" s="33"/>
      <c r="K6" s="33"/>
      <c r="N6" s="29"/>
      <c r="O6" s="29"/>
    </row>
    <row r="7" spans="1:49" ht="15" thickBot="1" x14ac:dyDescent="0.35">
      <c r="A7" s="30"/>
      <c r="B7" s="312" t="s">
        <v>21</v>
      </c>
      <c r="C7" s="313"/>
      <c r="D7" s="313"/>
      <c r="E7" s="313"/>
      <c r="F7" s="313"/>
      <c r="G7" s="313"/>
      <c r="H7" s="313"/>
      <c r="I7" s="313"/>
      <c r="J7" s="313"/>
      <c r="K7" s="313"/>
      <c r="L7" s="313"/>
      <c r="M7" s="314"/>
      <c r="N7" s="312" t="s">
        <v>22</v>
      </c>
      <c r="O7" s="313"/>
      <c r="P7" s="313"/>
      <c r="Q7" s="314"/>
      <c r="R7" s="312" t="s">
        <v>41</v>
      </c>
      <c r="S7" s="313"/>
      <c r="T7" s="313"/>
      <c r="U7" s="314"/>
      <c r="V7" s="312" t="s">
        <v>23</v>
      </c>
      <c r="W7" s="313"/>
      <c r="X7" s="313"/>
      <c r="Y7" s="314"/>
      <c r="Z7" s="312" t="s">
        <v>40</v>
      </c>
      <c r="AA7" s="313"/>
      <c r="AB7" s="313"/>
      <c r="AC7" s="313"/>
      <c r="AD7" s="313"/>
      <c r="AE7" s="313"/>
      <c r="AF7" s="313"/>
      <c r="AG7" s="314"/>
      <c r="AH7" s="312" t="s">
        <v>24</v>
      </c>
      <c r="AI7" s="313"/>
      <c r="AJ7" s="313"/>
      <c r="AK7" s="314"/>
      <c r="AL7" s="312" t="s">
        <v>25</v>
      </c>
      <c r="AM7" s="313"/>
      <c r="AN7" s="313"/>
      <c r="AO7" s="314"/>
      <c r="AP7" s="312" t="s">
        <v>60</v>
      </c>
      <c r="AQ7" s="313"/>
      <c r="AR7" s="313"/>
      <c r="AS7" s="314"/>
      <c r="AT7" s="312" t="s">
        <v>111</v>
      </c>
      <c r="AU7" s="313"/>
      <c r="AV7" s="313"/>
      <c r="AW7" s="314"/>
    </row>
    <row r="8" spans="1:49" ht="15.75" customHeight="1" thickBot="1" x14ac:dyDescent="0.35">
      <c r="A8" s="2"/>
      <c r="B8" s="312" t="s">
        <v>68</v>
      </c>
      <c r="C8" s="313"/>
      <c r="D8" s="313"/>
      <c r="E8" s="314"/>
      <c r="F8" s="312" t="s">
        <v>81</v>
      </c>
      <c r="G8" s="313"/>
      <c r="H8" s="313"/>
      <c r="I8" s="314"/>
      <c r="J8" s="320" t="s">
        <v>57</v>
      </c>
      <c r="K8" s="313"/>
      <c r="L8" s="313"/>
      <c r="M8" s="314"/>
      <c r="N8" s="312" t="s">
        <v>14</v>
      </c>
      <c r="O8" s="313"/>
      <c r="P8" s="313"/>
      <c r="Q8" s="314"/>
      <c r="R8" s="312" t="s">
        <v>35</v>
      </c>
      <c r="S8" s="313"/>
      <c r="T8" s="313"/>
      <c r="U8" s="314"/>
      <c r="V8" s="312" t="s">
        <v>113</v>
      </c>
      <c r="W8" s="313"/>
      <c r="X8" s="313"/>
      <c r="Y8" s="314"/>
      <c r="Z8" s="312" t="s">
        <v>84</v>
      </c>
      <c r="AA8" s="313"/>
      <c r="AB8" s="313"/>
      <c r="AC8" s="314"/>
      <c r="AD8" s="312" t="s">
        <v>18</v>
      </c>
      <c r="AE8" s="313"/>
      <c r="AF8" s="313"/>
      <c r="AG8" s="314"/>
      <c r="AH8" s="312" t="s">
        <v>73</v>
      </c>
      <c r="AI8" s="313"/>
      <c r="AJ8" s="313"/>
      <c r="AK8" s="314"/>
      <c r="AL8" s="312" t="s">
        <v>16</v>
      </c>
      <c r="AM8" s="313"/>
      <c r="AN8" s="313"/>
      <c r="AO8" s="314"/>
      <c r="AP8" s="312" t="s">
        <v>71</v>
      </c>
      <c r="AQ8" s="313"/>
      <c r="AR8" s="313"/>
      <c r="AS8" s="314"/>
      <c r="AT8" s="312" t="s">
        <v>79</v>
      </c>
      <c r="AU8" s="313"/>
      <c r="AV8" s="313"/>
      <c r="AW8" s="314"/>
    </row>
    <row r="9" spans="1:49" x14ac:dyDescent="0.3">
      <c r="A9" s="1"/>
      <c r="B9" s="12">
        <v>2020</v>
      </c>
      <c r="C9" s="13">
        <v>2021</v>
      </c>
      <c r="D9" s="13" t="s">
        <v>12</v>
      </c>
      <c r="E9" s="14" t="s">
        <v>13</v>
      </c>
      <c r="F9" s="12">
        <v>2020</v>
      </c>
      <c r="G9" s="13">
        <v>2021</v>
      </c>
      <c r="H9" s="13" t="s">
        <v>12</v>
      </c>
      <c r="I9" s="14" t="s">
        <v>13</v>
      </c>
      <c r="J9" s="44">
        <v>2020</v>
      </c>
      <c r="K9" s="45">
        <v>2021</v>
      </c>
      <c r="L9" s="45" t="s">
        <v>12</v>
      </c>
      <c r="M9" s="46" t="s">
        <v>13</v>
      </c>
      <c r="N9" s="12">
        <v>2020</v>
      </c>
      <c r="O9" s="13">
        <v>2021</v>
      </c>
      <c r="P9" s="13" t="s">
        <v>12</v>
      </c>
      <c r="Q9" s="14" t="s">
        <v>13</v>
      </c>
      <c r="R9" s="44">
        <v>2020</v>
      </c>
      <c r="S9" s="45">
        <v>2021</v>
      </c>
      <c r="T9" s="45" t="s">
        <v>12</v>
      </c>
      <c r="U9" s="46" t="s">
        <v>13</v>
      </c>
      <c r="V9" s="12">
        <v>2020</v>
      </c>
      <c r="W9" s="13">
        <v>2021</v>
      </c>
      <c r="X9" s="13" t="s">
        <v>12</v>
      </c>
      <c r="Y9" s="14" t="s">
        <v>13</v>
      </c>
      <c r="Z9" s="44">
        <v>2020</v>
      </c>
      <c r="AA9" s="45">
        <v>2021</v>
      </c>
      <c r="AB9" s="45" t="s">
        <v>12</v>
      </c>
      <c r="AC9" s="46" t="s">
        <v>13</v>
      </c>
      <c r="AD9" s="44">
        <v>2020</v>
      </c>
      <c r="AE9" s="45">
        <v>2021</v>
      </c>
      <c r="AF9" s="45" t="s">
        <v>12</v>
      </c>
      <c r="AG9" s="46" t="s">
        <v>13</v>
      </c>
      <c r="AH9" s="12">
        <v>2020</v>
      </c>
      <c r="AI9" s="13">
        <v>2021</v>
      </c>
      <c r="AJ9" s="13" t="s">
        <v>12</v>
      </c>
      <c r="AK9" s="14" t="s">
        <v>13</v>
      </c>
      <c r="AL9" s="12">
        <v>2020</v>
      </c>
      <c r="AM9" s="13">
        <v>2021</v>
      </c>
      <c r="AN9" s="13" t="s">
        <v>12</v>
      </c>
      <c r="AO9" s="14" t="s">
        <v>13</v>
      </c>
      <c r="AP9" s="12">
        <v>2020</v>
      </c>
      <c r="AQ9" s="13">
        <v>2021</v>
      </c>
      <c r="AR9" s="13" t="s">
        <v>12</v>
      </c>
      <c r="AS9" s="14" t="s">
        <v>13</v>
      </c>
      <c r="AT9" s="12">
        <v>2020</v>
      </c>
      <c r="AU9" s="13">
        <v>2021</v>
      </c>
      <c r="AV9" s="13" t="s">
        <v>12</v>
      </c>
      <c r="AW9" s="14" t="s">
        <v>13</v>
      </c>
    </row>
    <row r="10" spans="1:49" x14ac:dyDescent="0.3">
      <c r="A10" s="1" t="s">
        <v>0</v>
      </c>
      <c r="B10" s="23">
        <v>25</v>
      </c>
      <c r="C10" s="24">
        <v>24</v>
      </c>
      <c r="D10" s="24">
        <f>C10-B10</f>
        <v>-1</v>
      </c>
      <c r="E10" s="17">
        <f>(C10-B10)/B10</f>
        <v>-0.04</v>
      </c>
      <c r="F10" s="15">
        <v>0.83035714275000005</v>
      </c>
      <c r="G10" s="16">
        <v>0.70238095199999995</v>
      </c>
      <c r="H10" s="16">
        <f>G10-F10</f>
        <v>-0.12797619075000011</v>
      </c>
      <c r="I10" s="17">
        <f>(G10-F10)/F10</f>
        <v>-0.15412186414891907</v>
      </c>
      <c r="J10" s="76">
        <v>21</v>
      </c>
      <c r="K10" s="77">
        <v>17</v>
      </c>
      <c r="L10" s="77">
        <f>K10-J10</f>
        <v>-4</v>
      </c>
      <c r="M10" s="50">
        <f>(K10-J10)/J10</f>
        <v>-0.19047619047619047</v>
      </c>
      <c r="N10" s="253">
        <v>33.1</v>
      </c>
      <c r="O10" s="254">
        <v>43.03</v>
      </c>
      <c r="P10" s="254">
        <f>O10-N10</f>
        <v>9.93</v>
      </c>
      <c r="Q10" s="60">
        <f>(O10-N10)/N10</f>
        <v>0.3</v>
      </c>
      <c r="R10" s="47">
        <v>2.9062409093474573E-2</v>
      </c>
      <c r="S10" s="48">
        <v>2.2528949260559816E-2</v>
      </c>
      <c r="T10" s="49">
        <f>S10-R10</f>
        <v>-6.5334598329147564E-3</v>
      </c>
      <c r="U10" s="50">
        <f>(S10-R10)/R10</f>
        <v>-0.22480792324892723</v>
      </c>
      <c r="V10" s="15">
        <v>133.0082865</v>
      </c>
      <c r="W10" s="16">
        <v>148.03320239999999</v>
      </c>
      <c r="X10" s="16">
        <f>W10-V10</f>
        <v>15.024915899999996</v>
      </c>
      <c r="Y10" s="17">
        <f>(W10-V10)/V10</f>
        <v>0.11296225442314826</v>
      </c>
      <c r="Z10" s="55">
        <v>186.81268634675999</v>
      </c>
      <c r="AA10" s="49">
        <v>314.29409903037998</v>
      </c>
      <c r="AB10" s="49">
        <f t="shared" ref="AB10:AB22" si="0">AA10-Z10</f>
        <v>127.48141268361999</v>
      </c>
      <c r="AC10" s="50">
        <f t="shared" ref="AC10:AC22" si="1">(AA10-Z10)/Z10</f>
        <v>0.68240233132235018</v>
      </c>
      <c r="AD10" s="55">
        <v>1.4045191564898301</v>
      </c>
      <c r="AE10" s="49">
        <v>2.12313247312039</v>
      </c>
      <c r="AF10" s="49">
        <f>AE10-AD10</f>
        <v>0.71861331663055994</v>
      </c>
      <c r="AG10" s="50">
        <f>(AE10-AD10)/AD10</f>
        <v>0.51164365634322573</v>
      </c>
      <c r="AH10" s="15">
        <v>1.146392002</v>
      </c>
      <c r="AI10" s="16">
        <v>1.310174156</v>
      </c>
      <c r="AJ10" s="16">
        <f>AI10-AH10</f>
        <v>0.16378215399999996</v>
      </c>
      <c r="AK10" s="17">
        <f>(AI10-AH10)/AH10</f>
        <v>0.14286749533690479</v>
      </c>
      <c r="AL10" s="15">
        <v>28.716961515000001</v>
      </c>
      <c r="AM10" s="16">
        <v>29.305191220000001</v>
      </c>
      <c r="AN10" s="16">
        <f>AM10-AL10</f>
        <v>0.58822970499999983</v>
      </c>
      <c r="AO10" s="17">
        <f>(AM10-AL10)/AL10</f>
        <v>2.0483702800268205E-2</v>
      </c>
      <c r="AP10" s="15">
        <v>30.726466492499998</v>
      </c>
      <c r="AQ10" s="16">
        <v>31.470912755000001</v>
      </c>
      <c r="AR10" s="16">
        <f>AQ10-AP10</f>
        <v>0.74444626250000212</v>
      </c>
      <c r="AS10" s="17">
        <f>(AQ10-AP10)/AP10</f>
        <v>2.422817679610877E-2</v>
      </c>
      <c r="AT10" s="15">
        <v>30.726466492499998</v>
      </c>
      <c r="AU10" s="16">
        <v>31.470912755000001</v>
      </c>
      <c r="AV10" s="16">
        <f>AU10-AT10</f>
        <v>0.74444626250000212</v>
      </c>
      <c r="AW10" s="17">
        <f>(AU10-AT10)/AT10</f>
        <v>2.422817679610877E-2</v>
      </c>
    </row>
    <row r="11" spans="1:49" x14ac:dyDescent="0.3">
      <c r="A11" s="1" t="s">
        <v>1</v>
      </c>
      <c r="B11" s="23">
        <v>28</v>
      </c>
      <c r="C11" s="24">
        <v>28</v>
      </c>
      <c r="D11" s="24">
        <f t="shared" ref="D11:D22" si="2">C11-B11</f>
        <v>0</v>
      </c>
      <c r="E11" s="17">
        <f t="shared" ref="E11:E22" si="3">(C11-B11)/B11</f>
        <v>0</v>
      </c>
      <c r="F11" s="15">
        <v>0.85714285700000004</v>
      </c>
      <c r="G11" s="16">
        <v>0.71428571399999996</v>
      </c>
      <c r="H11" s="16">
        <f t="shared" ref="H11:H22" si="4">G11-F11</f>
        <v>-0.14285714300000008</v>
      </c>
      <c r="I11" s="17">
        <f t="shared" ref="I11:I22" si="5">(G11-F11)/F11</f>
        <v>-0.1666666668611112</v>
      </c>
      <c r="J11" s="76">
        <v>24</v>
      </c>
      <c r="K11" s="77">
        <v>20</v>
      </c>
      <c r="L11" s="77">
        <f t="shared" ref="L11:L22" si="6">K11-J11</f>
        <v>-4</v>
      </c>
      <c r="M11" s="50">
        <f t="shared" ref="M11:M22" si="7">(K11-J11)/J11</f>
        <v>-0.16666666666666666</v>
      </c>
      <c r="N11" s="253">
        <v>36.04</v>
      </c>
      <c r="O11" s="254">
        <v>42.73</v>
      </c>
      <c r="P11" s="254">
        <f t="shared" ref="P11:P22" si="8">O11-N11</f>
        <v>6.6899999999999977</v>
      </c>
      <c r="Q11" s="60">
        <f t="shared" ref="Q11:Q22" si="9">(O11-N11)/N11</f>
        <v>0.18562708102108763</v>
      </c>
      <c r="R11" s="47">
        <v>3.7656221899571962E-2</v>
      </c>
      <c r="S11" s="48">
        <v>2.0136293736429556E-2</v>
      </c>
      <c r="T11" s="49">
        <f t="shared" ref="T11:T22" si="10">S11-R11</f>
        <v>-1.7519928163142406E-2</v>
      </c>
      <c r="U11" s="50">
        <f t="shared" ref="U11:U22" si="11">(S11-R11)/R11</f>
        <v>-0.46525985028098515</v>
      </c>
      <c r="V11" s="15">
        <v>133.62641679999999</v>
      </c>
      <c r="W11" s="16">
        <v>147.13453709999999</v>
      </c>
      <c r="X11" s="16">
        <f t="shared" ref="X11:X22" si="12">W11-V11</f>
        <v>13.508120300000002</v>
      </c>
      <c r="Y11" s="17">
        <f t="shared" ref="Y11:Y22" si="13">(W11-V11)/V11</f>
        <v>0.10108869655779024</v>
      </c>
      <c r="Z11" s="55">
        <v>192.74824547679401</v>
      </c>
      <c r="AA11" s="49">
        <v>326.75587492013102</v>
      </c>
      <c r="AB11" s="49">
        <f t="shared" si="0"/>
        <v>134.00762944333701</v>
      </c>
      <c r="AC11" s="50">
        <f t="shared" si="1"/>
        <v>0.69524694822434019</v>
      </c>
      <c r="AD11" s="55">
        <v>1.44244117371506</v>
      </c>
      <c r="AE11" s="49">
        <v>2.2207965668839198</v>
      </c>
      <c r="AF11" s="49">
        <f t="shared" ref="AF11:AF22" si="14">AE11-AD11</f>
        <v>0.77835539316885982</v>
      </c>
      <c r="AG11" s="50">
        <f t="shared" ref="AG11:AG22" si="15">(AE11-AD11)/AD11</f>
        <v>0.53960979993671221</v>
      </c>
      <c r="AH11" s="15">
        <v>1.162704213</v>
      </c>
      <c r="AI11" s="16">
        <v>1.313304966</v>
      </c>
      <c r="AJ11" s="16">
        <f t="shared" ref="AJ11:AJ22" si="16">AI11-AH11</f>
        <v>0.15060075299999998</v>
      </c>
      <c r="AK11" s="17">
        <f t="shared" ref="AK11:AK22" si="17">(AI11-AH11)/AH11</f>
        <v>0.12952628133291194</v>
      </c>
      <c r="AL11" s="15">
        <v>30.6368263775</v>
      </c>
      <c r="AM11" s="16">
        <v>30.132801310000001</v>
      </c>
      <c r="AN11" s="16">
        <f t="shared" ref="AN11:AN22" si="18">AM11-AL11</f>
        <v>-0.50402506749999887</v>
      </c>
      <c r="AO11" s="17">
        <f t="shared" ref="AO11:AO22" si="19">(AM11-AL11)/AL11</f>
        <v>-1.6451608312477172E-2</v>
      </c>
      <c r="AP11" s="15">
        <v>30.926132602500001</v>
      </c>
      <c r="AQ11" s="16">
        <v>31.744990274999999</v>
      </c>
      <c r="AR11" s="16">
        <f t="shared" ref="AR11:AR22" si="20">AQ11-AP11</f>
        <v>0.8188576724999983</v>
      </c>
      <c r="AS11" s="17">
        <f t="shared" ref="AS11:AS22" si="21">(AQ11-AP11)/AP11</f>
        <v>2.6477855573632365E-2</v>
      </c>
      <c r="AT11" s="15">
        <v>30.926132602500001</v>
      </c>
      <c r="AU11" s="16">
        <v>31.744990274999999</v>
      </c>
      <c r="AV11" s="16">
        <f t="shared" ref="AV11:AV22" si="22">AU11-AT11</f>
        <v>0.8188576724999983</v>
      </c>
      <c r="AW11" s="17">
        <f t="shared" ref="AW11:AW22" si="23">(AU11-AT11)/AT11</f>
        <v>2.6477855573632365E-2</v>
      </c>
    </row>
    <row r="12" spans="1:49" x14ac:dyDescent="0.3">
      <c r="A12" s="1" t="s">
        <v>2</v>
      </c>
      <c r="B12" s="23">
        <v>35</v>
      </c>
      <c r="C12" s="24">
        <v>35</v>
      </c>
      <c r="D12" s="24">
        <f t="shared" si="2"/>
        <v>0</v>
      </c>
      <c r="E12" s="17">
        <f t="shared" si="3"/>
        <v>0</v>
      </c>
      <c r="F12" s="15">
        <v>0.77142857119999997</v>
      </c>
      <c r="G12" s="16">
        <v>0.59999999959999994</v>
      </c>
      <c r="H12" s="16">
        <f t="shared" si="4"/>
        <v>-0.17142857160000002</v>
      </c>
      <c r="I12" s="17">
        <f t="shared" si="5"/>
        <v>-0.22222222251028811</v>
      </c>
      <c r="J12" s="76">
        <v>27</v>
      </c>
      <c r="K12" s="77">
        <v>21</v>
      </c>
      <c r="L12" s="77">
        <f t="shared" si="6"/>
        <v>-6</v>
      </c>
      <c r="M12" s="50">
        <f t="shared" si="7"/>
        <v>-0.22222222222222221</v>
      </c>
      <c r="N12" s="253">
        <v>34.79</v>
      </c>
      <c r="O12" s="254">
        <v>41.23</v>
      </c>
      <c r="P12" s="254">
        <f t="shared" si="8"/>
        <v>6.4399999999999977</v>
      </c>
      <c r="Q12" s="60">
        <f t="shared" si="9"/>
        <v>0.18511066398390336</v>
      </c>
      <c r="R12" s="47">
        <v>4.6795401882895993E-2</v>
      </c>
      <c r="S12" s="48">
        <v>3.3434686436722538E-2</v>
      </c>
      <c r="T12" s="49">
        <f t="shared" si="10"/>
        <v>-1.3360715446173455E-2</v>
      </c>
      <c r="U12" s="50">
        <f t="shared" si="11"/>
        <v>-0.28551342457979567</v>
      </c>
      <c r="V12" s="15">
        <v>135.966478</v>
      </c>
      <c r="W12" s="16">
        <v>146.20523420000001</v>
      </c>
      <c r="X12" s="16">
        <f t="shared" si="12"/>
        <v>10.238756200000012</v>
      </c>
      <c r="Y12" s="17">
        <f t="shared" si="13"/>
        <v>7.5303533272370354E-2</v>
      </c>
      <c r="Z12" s="55">
        <v>203.184097320815</v>
      </c>
      <c r="AA12" s="49">
        <v>332.16</v>
      </c>
      <c r="AB12" s="49">
        <f t="shared" si="0"/>
        <v>128.97590267918503</v>
      </c>
      <c r="AC12" s="50">
        <f t="shared" si="1"/>
        <v>0.63477360866259203</v>
      </c>
      <c r="AD12" s="55">
        <v>1.4943690559688001</v>
      </c>
      <c r="AE12" s="49">
        <v>2.2718748879222499</v>
      </c>
      <c r="AF12" s="49">
        <f t="shared" si="14"/>
        <v>0.7775058319534498</v>
      </c>
      <c r="AG12" s="50">
        <f t="shared" si="15"/>
        <v>0.52029037194523042</v>
      </c>
      <c r="AH12" s="15">
        <v>1.1962909260000001</v>
      </c>
      <c r="AI12" s="16">
        <v>1.3000773489999999</v>
      </c>
      <c r="AJ12" s="16">
        <f t="shared" si="16"/>
        <v>0.10378642299999985</v>
      </c>
      <c r="AK12" s="17">
        <f t="shared" si="17"/>
        <v>8.6756842122866565E-2</v>
      </c>
      <c r="AL12" s="15">
        <v>24.990314550000001</v>
      </c>
      <c r="AM12" s="16">
        <v>28.295607845999999</v>
      </c>
      <c r="AN12" s="16">
        <f t="shared" si="18"/>
        <v>3.3052932959999985</v>
      </c>
      <c r="AO12" s="17">
        <f t="shared" si="19"/>
        <v>0.13226297289643352</v>
      </c>
      <c r="AP12" s="15">
        <v>28.206274698000001</v>
      </c>
      <c r="AQ12" s="16">
        <v>30.783296016000001</v>
      </c>
      <c r="AR12" s="16">
        <f t="shared" si="20"/>
        <v>2.5770213179999999</v>
      </c>
      <c r="AS12" s="17">
        <f t="shared" si="21"/>
        <v>9.1363405681599161E-2</v>
      </c>
      <c r="AT12" s="15">
        <v>28.206274698000001</v>
      </c>
      <c r="AU12" s="16">
        <v>30.783296016000001</v>
      </c>
      <c r="AV12" s="16">
        <f t="shared" si="22"/>
        <v>2.5770213179999999</v>
      </c>
      <c r="AW12" s="17">
        <f t="shared" si="23"/>
        <v>9.1363405681599161E-2</v>
      </c>
    </row>
    <row r="13" spans="1:49" x14ac:dyDescent="0.3">
      <c r="A13" s="1" t="s">
        <v>3</v>
      </c>
      <c r="B13" s="23">
        <v>28</v>
      </c>
      <c r="C13" s="24">
        <v>28</v>
      </c>
      <c r="D13" s="24">
        <f t="shared" si="2"/>
        <v>0</v>
      </c>
      <c r="E13" s="17">
        <f t="shared" si="3"/>
        <v>0</v>
      </c>
      <c r="F13" s="15">
        <v>0.67857142825000005</v>
      </c>
      <c r="G13" s="16">
        <v>0.60714285675000002</v>
      </c>
      <c r="H13" s="16">
        <f t="shared" si="4"/>
        <v>-7.1428571500000038E-2</v>
      </c>
      <c r="I13" s="17">
        <f t="shared" si="5"/>
        <v>-0.10526315804986154</v>
      </c>
      <c r="J13" s="76">
        <v>19</v>
      </c>
      <c r="K13" s="77">
        <v>17</v>
      </c>
      <c r="L13" s="77">
        <f t="shared" si="6"/>
        <v>-2</v>
      </c>
      <c r="M13" s="50">
        <f t="shared" si="7"/>
        <v>-0.10526315789473684</v>
      </c>
      <c r="N13" s="253">
        <v>34.409999999999997</v>
      </c>
      <c r="O13" s="254">
        <v>39.28</v>
      </c>
      <c r="P13" s="254">
        <f t="shared" si="8"/>
        <v>4.8700000000000045</v>
      </c>
      <c r="Q13" s="60">
        <f t="shared" si="9"/>
        <v>0.14152862539959329</v>
      </c>
      <c r="R13" s="47">
        <v>3.444697949233122E-2</v>
      </c>
      <c r="S13" s="48">
        <v>1.4965725908725691E-2</v>
      </c>
      <c r="T13" s="49">
        <f t="shared" si="10"/>
        <v>-1.9481253583605529E-2</v>
      </c>
      <c r="U13" s="50">
        <f t="shared" si="11"/>
        <v>-0.56554315852112824</v>
      </c>
      <c r="V13" s="15">
        <v>134.10945939999999</v>
      </c>
      <c r="W13" s="16">
        <v>149.4576572</v>
      </c>
      <c r="X13" s="16">
        <f t="shared" si="12"/>
        <v>15.348197800000008</v>
      </c>
      <c r="Y13" s="17">
        <f t="shared" si="13"/>
        <v>0.11444530362486875</v>
      </c>
      <c r="Z13" s="55">
        <v>206.02047894009601</v>
      </c>
      <c r="AA13" s="49">
        <v>338.87</v>
      </c>
      <c r="AB13" s="49">
        <f t="shared" si="0"/>
        <v>132.84952105990399</v>
      </c>
      <c r="AC13" s="50">
        <f t="shared" si="1"/>
        <v>0.64483648297183249</v>
      </c>
      <c r="AD13" s="55">
        <v>1.53621138953592</v>
      </c>
      <c r="AE13" s="49">
        <v>2.2673311381464099</v>
      </c>
      <c r="AF13" s="49">
        <f t="shared" si="14"/>
        <v>0.73111974861048989</v>
      </c>
      <c r="AG13" s="50">
        <f t="shared" si="15"/>
        <v>0.47592392140209083</v>
      </c>
      <c r="AH13" s="15">
        <v>1.207504927</v>
      </c>
      <c r="AI13" s="16">
        <v>1.3546880210000001</v>
      </c>
      <c r="AJ13" s="16">
        <f t="shared" si="16"/>
        <v>0.14718309400000007</v>
      </c>
      <c r="AK13" s="17">
        <f t="shared" si="17"/>
        <v>0.1218902637239509</v>
      </c>
      <c r="AL13" s="15">
        <v>24.950753809999998</v>
      </c>
      <c r="AM13" s="16">
        <v>22.961671235000001</v>
      </c>
      <c r="AN13" s="16">
        <f t="shared" si="18"/>
        <v>-1.9890825749999976</v>
      </c>
      <c r="AO13" s="17">
        <f t="shared" si="19"/>
        <v>-7.972033992026302E-2</v>
      </c>
      <c r="AP13" s="15">
        <v>26.548912207499999</v>
      </c>
      <c r="AQ13" s="16">
        <v>26.364061732500002</v>
      </c>
      <c r="AR13" s="16">
        <f t="shared" si="20"/>
        <v>-0.18485047499999752</v>
      </c>
      <c r="AS13" s="17">
        <f t="shared" si="21"/>
        <v>-6.9626383768664445E-3</v>
      </c>
      <c r="AT13" s="15">
        <v>26.548912207499999</v>
      </c>
      <c r="AU13" s="16">
        <v>26.364061732500002</v>
      </c>
      <c r="AV13" s="16">
        <f t="shared" si="22"/>
        <v>-0.18485047499999752</v>
      </c>
      <c r="AW13" s="17">
        <f t="shared" si="23"/>
        <v>-6.9626383768664445E-3</v>
      </c>
    </row>
    <row r="14" spans="1:49" x14ac:dyDescent="0.3">
      <c r="A14" s="1" t="s">
        <v>4</v>
      </c>
      <c r="B14" s="23">
        <v>28</v>
      </c>
      <c r="C14" s="24">
        <v>28</v>
      </c>
      <c r="D14" s="24">
        <f t="shared" si="2"/>
        <v>0</v>
      </c>
      <c r="E14" s="17">
        <f t="shared" si="3"/>
        <v>0</v>
      </c>
      <c r="F14" s="15">
        <v>0.60714285675000002</v>
      </c>
      <c r="G14" s="16">
        <v>0.67857142825000005</v>
      </c>
      <c r="H14" s="16">
        <f t="shared" si="4"/>
        <v>7.1428571500000038E-2</v>
      </c>
      <c r="I14" s="17">
        <f t="shared" si="5"/>
        <v>0.1176470590173011</v>
      </c>
      <c r="J14" s="76">
        <v>17</v>
      </c>
      <c r="K14" s="77">
        <v>19</v>
      </c>
      <c r="L14" s="77">
        <f t="shared" si="6"/>
        <v>2</v>
      </c>
      <c r="M14" s="50">
        <f t="shared" si="7"/>
        <v>0.11764705882352941</v>
      </c>
      <c r="N14" s="253">
        <v>36.47</v>
      </c>
      <c r="O14" s="254">
        <v>38.42</v>
      </c>
      <c r="P14" s="254">
        <f t="shared" si="8"/>
        <v>1.9500000000000028</v>
      </c>
      <c r="Q14" s="60">
        <f t="shared" si="9"/>
        <v>5.3468604332328022E-2</v>
      </c>
      <c r="R14" s="47">
        <v>3.0590696999836187E-2</v>
      </c>
      <c r="S14" s="48">
        <v>1.5427362512386189E-2</v>
      </c>
      <c r="T14" s="49">
        <f t="shared" si="10"/>
        <v>-1.5163334487449998E-2</v>
      </c>
      <c r="U14" s="50">
        <f t="shared" si="11"/>
        <v>-0.49568450459076485</v>
      </c>
      <c r="V14" s="15">
        <v>133.035887</v>
      </c>
      <c r="W14" s="16">
        <v>146.76087910000001</v>
      </c>
      <c r="X14" s="16">
        <f t="shared" si="12"/>
        <v>13.724992100000009</v>
      </c>
      <c r="Y14" s="17">
        <f t="shared" si="13"/>
        <v>0.10316759191450356</v>
      </c>
      <c r="Z14" s="55">
        <v>212.95483705310801</v>
      </c>
      <c r="AA14" s="49">
        <v>332.09</v>
      </c>
      <c r="AB14" s="49">
        <f t="shared" si="0"/>
        <v>119.13516294689197</v>
      </c>
      <c r="AC14" s="50">
        <f t="shared" si="1"/>
        <v>0.55943863307120512</v>
      </c>
      <c r="AD14" s="55">
        <v>1.60073226789643</v>
      </c>
      <c r="AE14" s="49">
        <v>2.26279647587012</v>
      </c>
      <c r="AF14" s="49">
        <f t="shared" si="14"/>
        <v>0.66206420797369003</v>
      </c>
      <c r="AG14" s="50">
        <f t="shared" si="15"/>
        <v>0.41360083834864425</v>
      </c>
      <c r="AH14" s="15">
        <v>1.2166898399999999</v>
      </c>
      <c r="AI14" s="16">
        <v>1.355383534</v>
      </c>
      <c r="AJ14" s="16">
        <f t="shared" si="16"/>
        <v>0.13869369400000009</v>
      </c>
      <c r="AK14" s="17">
        <f t="shared" si="17"/>
        <v>0.11399264581678442</v>
      </c>
      <c r="AL14" s="15">
        <v>20.744345934999998</v>
      </c>
      <c r="AM14" s="16">
        <v>20.920309329999998</v>
      </c>
      <c r="AN14" s="16">
        <f t="shared" si="18"/>
        <v>0.17596339500000013</v>
      </c>
      <c r="AO14" s="17">
        <f t="shared" si="19"/>
        <v>8.4824749621588945E-3</v>
      </c>
      <c r="AP14" s="15">
        <v>21.863471244999999</v>
      </c>
      <c r="AQ14" s="16">
        <v>23.355679117499999</v>
      </c>
      <c r="AR14" s="16">
        <f t="shared" si="20"/>
        <v>1.4922078724999999</v>
      </c>
      <c r="AS14" s="17">
        <f t="shared" si="21"/>
        <v>6.825118736994959E-2</v>
      </c>
      <c r="AT14" s="15">
        <v>21.863471244999999</v>
      </c>
      <c r="AU14" s="16">
        <v>23.355679117499999</v>
      </c>
      <c r="AV14" s="16">
        <f t="shared" si="22"/>
        <v>1.4922078724999999</v>
      </c>
      <c r="AW14" s="17">
        <f t="shared" si="23"/>
        <v>6.825118736994959E-2</v>
      </c>
    </row>
    <row r="15" spans="1:49" x14ac:dyDescent="0.3">
      <c r="A15" s="1" t="s">
        <v>5</v>
      </c>
      <c r="B15" s="23">
        <v>35</v>
      </c>
      <c r="C15" s="24">
        <v>35</v>
      </c>
      <c r="D15" s="24">
        <f t="shared" si="2"/>
        <v>0</v>
      </c>
      <c r="E15" s="17">
        <f t="shared" si="3"/>
        <v>0</v>
      </c>
      <c r="F15" s="15">
        <v>0.6285714282</v>
      </c>
      <c r="G15" s="16">
        <v>0.65714285679999995</v>
      </c>
      <c r="H15" s="16">
        <f t="shared" si="4"/>
        <v>2.8571428599999948E-2</v>
      </c>
      <c r="I15" s="17">
        <f t="shared" si="5"/>
        <v>4.5454545526859423E-2</v>
      </c>
      <c r="J15" s="76">
        <v>22</v>
      </c>
      <c r="K15" s="77">
        <v>23</v>
      </c>
      <c r="L15" s="77">
        <f t="shared" si="6"/>
        <v>1</v>
      </c>
      <c r="M15" s="50">
        <f t="shared" si="7"/>
        <v>4.5454545454545456E-2</v>
      </c>
      <c r="N15" s="253">
        <v>40.57</v>
      </c>
      <c r="O15" s="254">
        <v>39.47</v>
      </c>
      <c r="P15" s="254">
        <f t="shared" si="8"/>
        <v>-1.1000000000000014</v>
      </c>
      <c r="Q15" s="60">
        <f t="shared" si="9"/>
        <v>-2.7113630761646572E-2</v>
      </c>
      <c r="R15" s="47">
        <v>2.7180054023995259E-2</v>
      </c>
      <c r="S15" s="48">
        <v>2.2435391591276943E-2</v>
      </c>
      <c r="T15" s="49">
        <f t="shared" si="10"/>
        <v>-4.7446624327183162E-3</v>
      </c>
      <c r="U15" s="50">
        <f t="shared" si="11"/>
        <v>-0.17456412811135713</v>
      </c>
      <c r="V15" s="15">
        <v>133.21839159999999</v>
      </c>
      <c r="W15" s="16">
        <v>146.6142648</v>
      </c>
      <c r="X15" s="16">
        <f t="shared" si="12"/>
        <v>13.395873200000011</v>
      </c>
      <c r="Y15" s="17">
        <f t="shared" si="13"/>
        <v>0.10055573437804523</v>
      </c>
      <c r="Z15" s="55">
        <v>218.79139954917599</v>
      </c>
      <c r="AA15" s="49">
        <v>332.09</v>
      </c>
      <c r="AB15" s="49">
        <f t="shared" si="0"/>
        <v>113.29860045082398</v>
      </c>
      <c r="AC15" s="50">
        <f t="shared" si="1"/>
        <v>0.51783845564440834</v>
      </c>
      <c r="AD15" s="55">
        <v>1.6423513068617399</v>
      </c>
      <c r="AE15" s="49">
        <v>2.2650592723459901</v>
      </c>
      <c r="AF15" s="49">
        <f t="shared" si="14"/>
        <v>0.62270796548425023</v>
      </c>
      <c r="AG15" s="50">
        <f t="shared" si="15"/>
        <v>0.37915637347659897</v>
      </c>
      <c r="AH15" s="15">
        <v>1.227124272</v>
      </c>
      <c r="AI15" s="16">
        <v>1.355383534</v>
      </c>
      <c r="AJ15" s="16">
        <f t="shared" si="16"/>
        <v>0.12825926200000004</v>
      </c>
      <c r="AK15" s="17">
        <f t="shared" si="17"/>
        <v>0.10452018994861838</v>
      </c>
      <c r="AL15" s="15">
        <v>17.590314425999999</v>
      </c>
      <c r="AM15" s="16">
        <v>17.190840433999998</v>
      </c>
      <c r="AN15" s="16">
        <f t="shared" si="18"/>
        <v>-0.39947399200000078</v>
      </c>
      <c r="AO15" s="17">
        <f t="shared" si="19"/>
        <v>-2.2709883537359844E-2</v>
      </c>
      <c r="AP15" s="15">
        <v>17.837220252000002</v>
      </c>
      <c r="AQ15" s="16">
        <v>20.273258802000001</v>
      </c>
      <c r="AR15" s="16">
        <f t="shared" si="20"/>
        <v>2.4360385499999992</v>
      </c>
      <c r="AS15" s="17">
        <f t="shared" si="21"/>
        <v>0.13657052587702717</v>
      </c>
      <c r="AT15" s="15">
        <v>17.837220252000002</v>
      </c>
      <c r="AU15" s="16">
        <v>20.273258802000001</v>
      </c>
      <c r="AV15" s="16">
        <f t="shared" si="22"/>
        <v>2.4360385499999992</v>
      </c>
      <c r="AW15" s="17">
        <f t="shared" si="23"/>
        <v>0.13657052587702717</v>
      </c>
    </row>
    <row r="16" spans="1:49" x14ac:dyDescent="0.3">
      <c r="A16" s="1" t="s">
        <v>6</v>
      </c>
      <c r="B16" s="23">
        <v>28</v>
      </c>
      <c r="C16" s="24">
        <v>28</v>
      </c>
      <c r="D16" s="24">
        <f t="shared" si="2"/>
        <v>0</v>
      </c>
      <c r="E16" s="17">
        <f t="shared" si="3"/>
        <v>0</v>
      </c>
      <c r="F16" s="15">
        <v>0.64285714250000003</v>
      </c>
      <c r="G16" s="16">
        <v>0.64285714250000003</v>
      </c>
      <c r="H16" s="16">
        <f t="shared" si="4"/>
        <v>0</v>
      </c>
      <c r="I16" s="17">
        <f t="shared" si="5"/>
        <v>0</v>
      </c>
      <c r="J16" s="76">
        <v>18</v>
      </c>
      <c r="K16" s="77">
        <v>18</v>
      </c>
      <c r="L16" s="77">
        <f t="shared" si="6"/>
        <v>0</v>
      </c>
      <c r="M16" s="50">
        <f t="shared" si="7"/>
        <v>0</v>
      </c>
      <c r="N16" s="253">
        <v>44.18</v>
      </c>
      <c r="O16" s="254">
        <v>38.18</v>
      </c>
      <c r="P16" s="254">
        <f t="shared" si="8"/>
        <v>-6</v>
      </c>
      <c r="Q16" s="60">
        <f t="shared" si="9"/>
        <v>-0.13580805794477138</v>
      </c>
      <c r="R16" s="47">
        <v>2.1978655386921009E-2</v>
      </c>
      <c r="S16" s="48">
        <v>1.9341946456512993E-2</v>
      </c>
      <c r="T16" s="49">
        <f t="shared" si="10"/>
        <v>-2.636708930408016E-3</v>
      </c>
      <c r="U16" s="50">
        <f t="shared" si="11"/>
        <v>-0.11996679887783585</v>
      </c>
      <c r="V16" s="15">
        <v>131.35381279999999</v>
      </c>
      <c r="W16" s="16">
        <v>147.62739400000001</v>
      </c>
      <c r="X16" s="16">
        <f t="shared" si="12"/>
        <v>16.273581200000024</v>
      </c>
      <c r="Y16" s="17">
        <f t="shared" si="13"/>
        <v>0.12389119777419987</v>
      </c>
      <c r="Z16" s="55">
        <v>225.00545761259599</v>
      </c>
      <c r="AA16" s="49">
        <v>338.73180000000002</v>
      </c>
      <c r="AB16" s="49">
        <f t="shared" si="0"/>
        <v>113.72634238740403</v>
      </c>
      <c r="AC16" s="50">
        <f t="shared" si="1"/>
        <v>0.50543815067460629</v>
      </c>
      <c r="AD16" s="55">
        <v>1.7129724130568</v>
      </c>
      <c r="AE16" s="49">
        <v>2.2945050428864802</v>
      </c>
      <c r="AF16" s="49">
        <f t="shared" si="14"/>
        <v>0.58153262982968013</v>
      </c>
      <c r="AG16" s="50">
        <f t="shared" si="15"/>
        <v>0.33948744614744547</v>
      </c>
      <c r="AH16" s="15">
        <v>1.253020952</v>
      </c>
      <c r="AI16" s="16">
        <v>1.3824912039999999</v>
      </c>
      <c r="AJ16" s="16">
        <f t="shared" si="16"/>
        <v>0.12947025199999995</v>
      </c>
      <c r="AK16" s="17">
        <f t="shared" si="17"/>
        <v>0.10332648611609166</v>
      </c>
      <c r="AL16" s="15">
        <v>14.99628094</v>
      </c>
      <c r="AM16" s="16">
        <v>14.0327862175</v>
      </c>
      <c r="AN16" s="16">
        <f t="shared" si="18"/>
        <v>-0.96349472250000012</v>
      </c>
      <c r="AO16" s="17">
        <f t="shared" si="19"/>
        <v>-6.4248911203713427E-2</v>
      </c>
      <c r="AP16" s="15">
        <v>16.7924351375</v>
      </c>
      <c r="AQ16" s="16">
        <v>14.834197359999999</v>
      </c>
      <c r="AR16" s="16">
        <f t="shared" si="20"/>
        <v>-1.9582377775000008</v>
      </c>
      <c r="AS16" s="17">
        <f t="shared" si="21"/>
        <v>-0.11661428264962985</v>
      </c>
      <c r="AT16" s="15">
        <v>16.7924351375</v>
      </c>
      <c r="AU16" s="16">
        <v>14.834197359999999</v>
      </c>
      <c r="AV16" s="16">
        <f t="shared" si="22"/>
        <v>-1.9582377775000008</v>
      </c>
      <c r="AW16" s="17">
        <f t="shared" si="23"/>
        <v>-0.11661428264962985</v>
      </c>
    </row>
    <row r="17" spans="1:49" x14ac:dyDescent="0.3">
      <c r="A17" s="1" t="s">
        <v>7</v>
      </c>
      <c r="B17" s="23">
        <v>28</v>
      </c>
      <c r="C17" s="24">
        <v>28</v>
      </c>
      <c r="D17" s="24">
        <f t="shared" si="2"/>
        <v>0</v>
      </c>
      <c r="E17" s="17">
        <f t="shared" si="3"/>
        <v>0</v>
      </c>
      <c r="F17" s="15">
        <v>0.67857142825000005</v>
      </c>
      <c r="G17" s="16">
        <v>0.67857142825000005</v>
      </c>
      <c r="H17" s="16">
        <f t="shared" si="4"/>
        <v>0</v>
      </c>
      <c r="I17" s="17">
        <f t="shared" si="5"/>
        <v>0</v>
      </c>
      <c r="J17" s="76">
        <v>19</v>
      </c>
      <c r="K17" s="77">
        <v>19</v>
      </c>
      <c r="L17" s="77">
        <f t="shared" si="6"/>
        <v>0</v>
      </c>
      <c r="M17" s="50">
        <f t="shared" si="7"/>
        <v>0</v>
      </c>
      <c r="N17" s="253">
        <v>41.86</v>
      </c>
      <c r="O17" s="254">
        <v>41.31</v>
      </c>
      <c r="P17" s="254">
        <f t="shared" si="8"/>
        <v>-0.54999999999999716</v>
      </c>
      <c r="Q17" s="60">
        <f t="shared" si="9"/>
        <v>-1.3139034878165244E-2</v>
      </c>
      <c r="R17" s="47">
        <v>3.9539857870486861E-2</v>
      </c>
      <c r="S17" s="48">
        <v>2.7001103590661213E-2</v>
      </c>
      <c r="T17" s="49">
        <f t="shared" si="10"/>
        <v>-1.2538754279825648E-2</v>
      </c>
      <c r="U17" s="50">
        <f t="shared" si="11"/>
        <v>-0.31711682730111079</v>
      </c>
      <c r="V17" s="15">
        <v>134.81768439999999</v>
      </c>
      <c r="W17" s="16">
        <v>145.6709156</v>
      </c>
      <c r="X17" s="16">
        <f t="shared" si="12"/>
        <v>10.85323120000001</v>
      </c>
      <c r="Y17" s="17">
        <f t="shared" si="13"/>
        <v>8.0503023385261552E-2</v>
      </c>
      <c r="Z17" s="55">
        <v>237.405265367563</v>
      </c>
      <c r="AA17" s="49">
        <v>341.26174618296699</v>
      </c>
      <c r="AB17" s="49">
        <f t="shared" si="0"/>
        <v>103.85648081540398</v>
      </c>
      <c r="AC17" s="50">
        <f t="shared" si="1"/>
        <v>0.43746494271981734</v>
      </c>
      <c r="AD17" s="55">
        <v>1.7609356406223899</v>
      </c>
      <c r="AE17" s="49">
        <v>2.3426896487871001</v>
      </c>
      <c r="AF17" s="49">
        <f t="shared" si="14"/>
        <v>0.58175400816471012</v>
      </c>
      <c r="AG17" s="50">
        <f t="shared" si="15"/>
        <v>0.33036642268146349</v>
      </c>
      <c r="AH17" s="15">
        <v>1.2485579040000001</v>
      </c>
      <c r="AI17" s="16">
        <v>1.3847937050000001</v>
      </c>
      <c r="AJ17" s="16">
        <f t="shared" si="16"/>
        <v>0.13623580099999999</v>
      </c>
      <c r="AK17" s="17">
        <f t="shared" si="17"/>
        <v>0.10911452369452941</v>
      </c>
      <c r="AL17" s="15">
        <v>15.7100662225</v>
      </c>
      <c r="AM17" s="16">
        <v>17.544449820000001</v>
      </c>
      <c r="AN17" s="16">
        <f t="shared" si="18"/>
        <v>1.8343835975000005</v>
      </c>
      <c r="AO17" s="17">
        <f t="shared" si="19"/>
        <v>0.11676485455375046</v>
      </c>
      <c r="AP17" s="15">
        <v>18.092583757500002</v>
      </c>
      <c r="AQ17" s="16">
        <v>19.052669989999998</v>
      </c>
      <c r="AR17" s="16">
        <f t="shared" si="20"/>
        <v>0.96008623249999658</v>
      </c>
      <c r="AS17" s="17">
        <f t="shared" si="21"/>
        <v>5.3065181035959426E-2</v>
      </c>
      <c r="AT17" s="15">
        <v>18.092583757500002</v>
      </c>
      <c r="AU17" s="16">
        <v>19.052669989999998</v>
      </c>
      <c r="AV17" s="16">
        <f t="shared" si="22"/>
        <v>0.96008623249999658</v>
      </c>
      <c r="AW17" s="17">
        <f t="shared" si="23"/>
        <v>5.3065181035959426E-2</v>
      </c>
    </row>
    <row r="18" spans="1:49" x14ac:dyDescent="0.3">
      <c r="A18" s="1" t="s">
        <v>8</v>
      </c>
      <c r="B18" s="23">
        <v>35</v>
      </c>
      <c r="C18" s="24">
        <v>35</v>
      </c>
      <c r="D18" s="24">
        <f t="shared" si="2"/>
        <v>0</v>
      </c>
      <c r="E18" s="17">
        <f t="shared" si="3"/>
        <v>0</v>
      </c>
      <c r="F18" s="15">
        <v>0.68571428540000001</v>
      </c>
      <c r="G18" s="16">
        <v>0.71428571399999996</v>
      </c>
      <c r="H18" s="16">
        <f t="shared" si="4"/>
        <v>2.8571428599999948E-2</v>
      </c>
      <c r="I18" s="17">
        <f t="shared" si="5"/>
        <v>4.1666666727430482E-2</v>
      </c>
      <c r="J18" s="76">
        <v>24</v>
      </c>
      <c r="K18" s="77">
        <v>25</v>
      </c>
      <c r="L18" s="77">
        <f t="shared" si="6"/>
        <v>1</v>
      </c>
      <c r="M18" s="50">
        <f t="shared" si="7"/>
        <v>4.1666666666666664E-2</v>
      </c>
      <c r="N18" s="253">
        <v>42.09</v>
      </c>
      <c r="O18" s="254">
        <v>40.31</v>
      </c>
      <c r="P18" s="254">
        <f t="shared" si="8"/>
        <v>-1.7800000000000011</v>
      </c>
      <c r="Q18" s="60">
        <f t="shared" si="9"/>
        <v>-4.2290330244713729E-2</v>
      </c>
      <c r="R18" s="47">
        <v>5.8856622721223051E-2</v>
      </c>
      <c r="S18" s="48">
        <v>2.8355216469789557E-2</v>
      </c>
      <c r="T18" s="49">
        <f t="shared" si="10"/>
        <v>-3.0501406251433494E-2</v>
      </c>
      <c r="U18" s="50">
        <f t="shared" si="11"/>
        <v>-0.51823235587105854</v>
      </c>
      <c r="V18" s="15">
        <v>143.0524437</v>
      </c>
      <c r="W18" s="16">
        <v>147.5148513</v>
      </c>
      <c r="X18" s="16">
        <f t="shared" si="12"/>
        <v>4.4624076000000059</v>
      </c>
      <c r="Y18" s="17">
        <f t="shared" si="13"/>
        <v>3.1194207414997177E-2</v>
      </c>
      <c r="Z18" s="55">
        <v>258.45570648180501</v>
      </c>
      <c r="AA18" s="49">
        <v>354.91221603028498</v>
      </c>
      <c r="AB18" s="49">
        <f t="shared" si="0"/>
        <v>96.456509548479971</v>
      </c>
      <c r="AC18" s="50">
        <f t="shared" si="1"/>
        <v>0.37320324964568119</v>
      </c>
      <c r="AD18" s="55">
        <v>1.8067199672785701</v>
      </c>
      <c r="AE18" s="49">
        <v>2.40594226930435</v>
      </c>
      <c r="AF18" s="49">
        <f t="shared" si="14"/>
        <v>0.59922230202577986</v>
      </c>
      <c r="AG18" s="50">
        <f t="shared" si="15"/>
        <v>0.33166307611487666</v>
      </c>
      <c r="AH18" s="15">
        <v>1.270714385</v>
      </c>
      <c r="AI18" s="16">
        <v>1.396843101</v>
      </c>
      <c r="AJ18" s="16">
        <f t="shared" si="16"/>
        <v>0.12612871599999997</v>
      </c>
      <c r="AK18" s="17">
        <f t="shared" si="17"/>
        <v>9.9258116134413613E-2</v>
      </c>
      <c r="AL18" s="15">
        <v>19.64541681</v>
      </c>
      <c r="AM18" s="16">
        <v>18.819123084000001</v>
      </c>
      <c r="AN18" s="16">
        <f t="shared" si="18"/>
        <v>-0.8262937259999994</v>
      </c>
      <c r="AO18" s="17">
        <f t="shared" si="19"/>
        <v>-4.2060381512465321E-2</v>
      </c>
      <c r="AP18" s="15">
        <v>20.036474510000001</v>
      </c>
      <c r="AQ18" s="16">
        <v>20.864757116</v>
      </c>
      <c r="AR18" s="16">
        <f t="shared" si="20"/>
        <v>0.82828260599999837</v>
      </c>
      <c r="AS18" s="17">
        <f t="shared" si="21"/>
        <v>4.1338739786114118E-2</v>
      </c>
      <c r="AT18" s="15">
        <v>20.036474510000001</v>
      </c>
      <c r="AU18" s="16">
        <v>20.864757116</v>
      </c>
      <c r="AV18" s="16">
        <f t="shared" si="22"/>
        <v>0.82828260599999837</v>
      </c>
      <c r="AW18" s="17">
        <f t="shared" si="23"/>
        <v>4.1338739786114118E-2</v>
      </c>
    </row>
    <row r="19" spans="1:49" x14ac:dyDescent="0.3">
      <c r="A19" s="1" t="s">
        <v>9</v>
      </c>
      <c r="B19" s="23">
        <v>28</v>
      </c>
      <c r="C19" s="24">
        <v>28</v>
      </c>
      <c r="D19" s="24">
        <f t="shared" si="2"/>
        <v>0</v>
      </c>
      <c r="E19" s="17">
        <f t="shared" si="3"/>
        <v>0</v>
      </c>
      <c r="F19" s="15">
        <v>0.67857142825000005</v>
      </c>
      <c r="G19" s="16">
        <v>0.67857142825000005</v>
      </c>
      <c r="H19" s="16">
        <f t="shared" si="4"/>
        <v>0</v>
      </c>
      <c r="I19" s="17">
        <f t="shared" si="5"/>
        <v>0</v>
      </c>
      <c r="J19" s="76">
        <v>19</v>
      </c>
      <c r="K19" s="77">
        <v>19</v>
      </c>
      <c r="L19" s="77">
        <f t="shared" si="6"/>
        <v>0</v>
      </c>
      <c r="M19" s="50">
        <f t="shared" si="7"/>
        <v>0</v>
      </c>
      <c r="N19" s="253">
        <v>43.77</v>
      </c>
      <c r="O19" s="254">
        <v>38.83</v>
      </c>
      <c r="P19" s="254">
        <f t="shared" si="8"/>
        <v>-4.9400000000000048</v>
      </c>
      <c r="Q19" s="60">
        <f t="shared" si="9"/>
        <v>-0.11286269134110131</v>
      </c>
      <c r="R19" s="47">
        <v>3.2934820909841234E-2</v>
      </c>
      <c r="S19" s="48">
        <v>3.2000000000000001E-2</v>
      </c>
      <c r="T19" s="49">
        <f t="shared" si="10"/>
        <v>-9.3482090984123301E-4</v>
      </c>
      <c r="U19" s="50">
        <f t="shared" si="11"/>
        <v>-2.8383968214076419E-2</v>
      </c>
      <c r="V19" s="15">
        <v>145.52403770000001</v>
      </c>
      <c r="W19" s="16">
        <v>143.07939020000001</v>
      </c>
      <c r="X19" s="16">
        <f t="shared" si="12"/>
        <v>-2.4446475000000021</v>
      </c>
      <c r="Y19" s="17">
        <f t="shared" si="13"/>
        <v>-1.6798925721396487E-2</v>
      </c>
      <c r="Z19" s="55">
        <v>272.91218960377</v>
      </c>
      <c r="AA19" s="49">
        <v>354.91221603028498</v>
      </c>
      <c r="AB19" s="49">
        <f t="shared" si="0"/>
        <v>82.000026426514978</v>
      </c>
      <c r="AC19" s="50">
        <f t="shared" si="1"/>
        <v>0.30046304104469446</v>
      </c>
      <c r="AD19" s="55">
        <v>1.87537532603515</v>
      </c>
      <c r="AE19" s="49">
        <v>2.4805264796527902</v>
      </c>
      <c r="AF19" s="49">
        <f t="shared" si="14"/>
        <v>0.60515115361764016</v>
      </c>
      <c r="AG19" s="50">
        <f t="shared" si="15"/>
        <v>0.32268268928173893</v>
      </c>
      <c r="AH19" s="15">
        <v>1.278633275</v>
      </c>
      <c r="AI19" s="16">
        <v>1.396843101</v>
      </c>
      <c r="AJ19" s="16">
        <f t="shared" si="16"/>
        <v>0.11820982599999996</v>
      </c>
      <c r="AK19" s="17">
        <f t="shared" si="17"/>
        <v>9.2450140561217573E-2</v>
      </c>
      <c r="AL19" s="15">
        <v>21.259809847500001</v>
      </c>
      <c r="AM19" s="16">
        <v>22.073192225</v>
      </c>
      <c r="AN19" s="16">
        <f t="shared" si="18"/>
        <v>0.8133823774999982</v>
      </c>
      <c r="AO19" s="17">
        <f t="shared" si="19"/>
        <v>3.8259155812517584E-2</v>
      </c>
      <c r="AP19" s="15">
        <v>24.820115272500001</v>
      </c>
      <c r="AQ19" s="16">
        <v>25.516777367500001</v>
      </c>
      <c r="AR19" s="16">
        <f t="shared" si="20"/>
        <v>0.69666209500000065</v>
      </c>
      <c r="AS19" s="17">
        <f t="shared" si="21"/>
        <v>2.8068447199029851E-2</v>
      </c>
      <c r="AT19" s="15">
        <v>24.820115272500001</v>
      </c>
      <c r="AU19" s="16">
        <v>25.516777367500001</v>
      </c>
      <c r="AV19" s="16">
        <f t="shared" si="22"/>
        <v>0.69666209500000065</v>
      </c>
      <c r="AW19" s="17">
        <f t="shared" si="23"/>
        <v>2.8068447199029851E-2</v>
      </c>
    </row>
    <row r="20" spans="1:49" x14ac:dyDescent="0.3">
      <c r="A20" s="1" t="s">
        <v>10</v>
      </c>
      <c r="B20" s="23">
        <v>28</v>
      </c>
      <c r="C20" s="24">
        <v>28</v>
      </c>
      <c r="D20" s="24">
        <f t="shared" si="2"/>
        <v>0</v>
      </c>
      <c r="E20" s="17">
        <f t="shared" si="3"/>
        <v>0</v>
      </c>
      <c r="F20" s="15">
        <v>0.64285714250000003</v>
      </c>
      <c r="G20" s="16">
        <v>0.71428571399999996</v>
      </c>
      <c r="H20" s="16">
        <f t="shared" si="4"/>
        <v>7.1428571499999927E-2</v>
      </c>
      <c r="I20" s="17">
        <f t="shared" si="5"/>
        <v>0.1111111112839505</v>
      </c>
      <c r="J20" s="76">
        <v>18</v>
      </c>
      <c r="K20" s="77">
        <v>20</v>
      </c>
      <c r="L20" s="77">
        <f t="shared" si="6"/>
        <v>2</v>
      </c>
      <c r="M20" s="50">
        <f t="shared" si="7"/>
        <v>0.1111111111111111</v>
      </c>
      <c r="N20" s="253">
        <v>41.35</v>
      </c>
      <c r="O20" s="254">
        <v>39.376547780000003</v>
      </c>
      <c r="P20" s="254">
        <f t="shared" si="8"/>
        <v>-1.9734522199999986</v>
      </c>
      <c r="Q20" s="60">
        <f t="shared" si="9"/>
        <v>-4.772556759371218E-2</v>
      </c>
      <c r="R20" s="47">
        <v>4.2545373094803107E-2</v>
      </c>
      <c r="S20" s="48">
        <v>3.6217053421069997E-2</v>
      </c>
      <c r="T20" s="49">
        <f t="shared" si="10"/>
        <v>-6.3283196737331099E-3</v>
      </c>
      <c r="U20" s="50">
        <f t="shared" si="11"/>
        <v>-0.14874284119290307</v>
      </c>
      <c r="V20" s="15">
        <v>153.4417455</v>
      </c>
      <c r="W20" s="16">
        <v>140.1930624</v>
      </c>
      <c r="X20" s="16">
        <f t="shared" si="12"/>
        <v>-13.248683099999994</v>
      </c>
      <c r="Y20" s="17">
        <f t="shared" si="13"/>
        <v>-8.6343407114069848E-2</v>
      </c>
      <c r="Z20" s="55">
        <v>295.81816767909402</v>
      </c>
      <c r="AA20" s="49">
        <v>362.01046035089098</v>
      </c>
      <c r="AB20" s="49">
        <f t="shared" si="0"/>
        <v>66.192292671796963</v>
      </c>
      <c r="AC20" s="50">
        <f t="shared" si="1"/>
        <v>0.22376006582395883</v>
      </c>
      <c r="AD20" s="55">
        <v>1.9278858351641399</v>
      </c>
      <c r="AE20" s="49">
        <v>2.5822280653185499</v>
      </c>
      <c r="AF20" s="49">
        <f t="shared" si="14"/>
        <v>0.65434223015440995</v>
      </c>
      <c r="AG20" s="50">
        <f t="shared" si="15"/>
        <v>0.33940922134463392</v>
      </c>
      <c r="AH20" s="15">
        <v>1.320171778</v>
      </c>
      <c r="AI20" s="16">
        <v>1.403013064</v>
      </c>
      <c r="AJ20" s="16">
        <f t="shared" si="16"/>
        <v>8.2841286000000069E-2</v>
      </c>
      <c r="AK20" s="17">
        <f t="shared" si="17"/>
        <v>6.2750383988287375E-2</v>
      </c>
      <c r="AL20" s="15">
        <v>26.971358822500001</v>
      </c>
      <c r="AM20" s="16">
        <v>23.324372199999999</v>
      </c>
      <c r="AN20" s="16">
        <f t="shared" si="18"/>
        <v>-3.6469866225000018</v>
      </c>
      <c r="AO20" s="17">
        <f t="shared" si="19"/>
        <v>-0.13521701470441375</v>
      </c>
      <c r="AP20" s="15">
        <v>27.9213897775</v>
      </c>
      <c r="AQ20" s="16">
        <v>27.950078722499999</v>
      </c>
      <c r="AR20" s="16">
        <f t="shared" si="20"/>
        <v>2.8688944999998967E-2</v>
      </c>
      <c r="AS20" s="17">
        <f t="shared" si="21"/>
        <v>1.027489864530937E-3</v>
      </c>
      <c r="AT20" s="15">
        <v>27.9213897775</v>
      </c>
      <c r="AU20" s="16">
        <v>27.950078722499999</v>
      </c>
      <c r="AV20" s="16">
        <f t="shared" si="22"/>
        <v>2.8688944999998967E-2</v>
      </c>
      <c r="AW20" s="17">
        <f t="shared" si="23"/>
        <v>1.027489864530937E-3</v>
      </c>
    </row>
    <row r="21" spans="1:49" ht="15" thickBot="1" x14ac:dyDescent="0.35">
      <c r="A21" s="1" t="s">
        <v>11</v>
      </c>
      <c r="B21" s="187">
        <v>39</v>
      </c>
      <c r="C21" s="188">
        <v>41</v>
      </c>
      <c r="D21" s="188">
        <f t="shared" si="2"/>
        <v>2</v>
      </c>
      <c r="E21" s="189">
        <f t="shared" si="3"/>
        <v>5.128205128205128E-2</v>
      </c>
      <c r="F21" s="190">
        <v>0.65194805160000002</v>
      </c>
      <c r="G21" s="147">
        <v>0.60879120840000001</v>
      </c>
      <c r="H21" s="147">
        <f t="shared" si="4"/>
        <v>-4.3156843200000017E-2</v>
      </c>
      <c r="I21" s="189">
        <f t="shared" si="5"/>
        <v>-6.6196751557252478E-2</v>
      </c>
      <c r="J21" s="191">
        <v>25</v>
      </c>
      <c r="K21" s="192">
        <v>25</v>
      </c>
      <c r="L21" s="192">
        <f t="shared" si="6"/>
        <v>0</v>
      </c>
      <c r="M21" s="193">
        <f t="shared" si="7"/>
        <v>0</v>
      </c>
      <c r="N21" s="255">
        <v>42.348258999999999</v>
      </c>
      <c r="O21" s="256">
        <v>38.855971879999998</v>
      </c>
      <c r="P21" s="256">
        <f t="shared" si="8"/>
        <v>-3.4922871200000003</v>
      </c>
      <c r="Q21" s="221">
        <f t="shared" si="9"/>
        <v>-8.246589594155454E-2</v>
      </c>
      <c r="R21" s="216">
        <v>3.7437073551383371E-2</v>
      </c>
      <c r="S21" s="217">
        <v>3.8083346072419998E-2</v>
      </c>
      <c r="T21" s="196">
        <f t="shared" si="10"/>
        <v>6.4627252103662686E-4</v>
      </c>
      <c r="U21" s="193">
        <f t="shared" si="11"/>
        <v>1.7262901710241876E-2</v>
      </c>
      <c r="V21" s="190">
        <v>155.27936769999999</v>
      </c>
      <c r="W21" s="147">
        <v>136.14903179999999</v>
      </c>
      <c r="X21" s="147">
        <f t="shared" si="12"/>
        <v>-19.130335900000006</v>
      </c>
      <c r="Y21" s="189">
        <f t="shared" si="13"/>
        <v>-0.12319947062741682</v>
      </c>
      <c r="Z21" s="197">
        <v>303.85130683145297</v>
      </c>
      <c r="AA21" s="196">
        <v>365.63056495439997</v>
      </c>
      <c r="AB21" s="196">
        <f t="shared" si="0"/>
        <v>61.779258122946999</v>
      </c>
      <c r="AC21" s="193">
        <f t="shared" si="1"/>
        <v>0.20332069250311335</v>
      </c>
      <c r="AD21" s="197">
        <v>1.9568041226916</v>
      </c>
      <c r="AE21" s="196">
        <v>2.68551718793129</v>
      </c>
      <c r="AF21" s="196">
        <f t="shared" si="14"/>
        <v>0.72871306523969004</v>
      </c>
      <c r="AG21" s="193">
        <f t="shared" si="15"/>
        <v>0.37239959625460073</v>
      </c>
      <c r="AH21" s="190">
        <v>1.311125409</v>
      </c>
      <c r="AI21" s="147">
        <v>1.406135524</v>
      </c>
      <c r="AJ21" s="147">
        <f t="shared" si="16"/>
        <v>9.5010115000000006E-2</v>
      </c>
      <c r="AK21" s="221">
        <f t="shared" si="17"/>
        <v>7.2464551710934008E-2</v>
      </c>
      <c r="AL21" s="190">
        <v>28.715715098</v>
      </c>
      <c r="AM21" s="147">
        <v>28.619172588000001</v>
      </c>
      <c r="AN21" s="147">
        <f t="shared" si="18"/>
        <v>-9.6542509999999027E-2</v>
      </c>
      <c r="AO21" s="189">
        <f t="shared" si="19"/>
        <v>-3.3620096059081965E-3</v>
      </c>
      <c r="AP21" s="190">
        <v>30.695088972000001</v>
      </c>
      <c r="AQ21" s="147">
        <v>29.210975754</v>
      </c>
      <c r="AR21" s="147">
        <f t="shared" si="20"/>
        <v>-1.484113218000001</v>
      </c>
      <c r="AS21" s="189">
        <f t="shared" si="21"/>
        <v>-4.835018459642864E-2</v>
      </c>
      <c r="AT21" s="190">
        <v>30.695088972000001</v>
      </c>
      <c r="AU21" s="147">
        <v>29.210975754</v>
      </c>
      <c r="AV21" s="147">
        <f t="shared" si="22"/>
        <v>-1.484113218000001</v>
      </c>
      <c r="AW21" s="189">
        <f t="shared" si="23"/>
        <v>-4.835018459642864E-2</v>
      </c>
    </row>
    <row r="22" spans="1:49" ht="15" thickBot="1" x14ac:dyDescent="0.35">
      <c r="A22" s="4" t="s">
        <v>15</v>
      </c>
      <c r="B22" s="198">
        <f>SUM(B10:B21)</f>
        <v>365</v>
      </c>
      <c r="C22" s="199">
        <f>SUM(C10:C21)</f>
        <v>366</v>
      </c>
      <c r="D22" s="199">
        <f t="shared" si="2"/>
        <v>1</v>
      </c>
      <c r="E22" s="200">
        <f t="shared" si="3"/>
        <v>2.7397260273972603E-3</v>
      </c>
      <c r="F22" s="201">
        <f>(4*SUM(F10:F11,F13:F14,F16:F17,F19:F20)+5*SUM(F12,F15,F18,F21))/52</f>
        <v>0.69524225744230772</v>
      </c>
      <c r="G22" s="202">
        <f>(4*SUM(G10:G11,G13:G14,G16:G17,G19:G20)+5*SUM(G12,G15,G18,G21))/52</f>
        <v>0.66476472211538451</v>
      </c>
      <c r="H22" s="202">
        <f t="shared" si="4"/>
        <v>-3.0477535326923211E-2</v>
      </c>
      <c r="I22" s="200">
        <f t="shared" si="5"/>
        <v>-4.3837288370596895E-2</v>
      </c>
      <c r="J22" s="203">
        <f>SUM(J10:J21)</f>
        <v>253</v>
      </c>
      <c r="K22" s="204">
        <f>SUM(K10:K21)</f>
        <v>243</v>
      </c>
      <c r="L22" s="204">
        <f t="shared" si="6"/>
        <v>-10</v>
      </c>
      <c r="M22" s="205">
        <f t="shared" si="7"/>
        <v>-3.9525691699604744E-2</v>
      </c>
      <c r="N22" s="257">
        <f>(4*SUM(N10:N11,N13:N14,N16:N17,N19:N20)+5*SUM(N12,N15,N18,N21))/52</f>
        <v>39.302140288461537</v>
      </c>
      <c r="O22" s="258">
        <f>(4*SUM(O10:O11,O13:O14,O16:O17,O19:O20)+5*SUM(O12,O15,O18,O21))/52</f>
        <v>40.076077894615381</v>
      </c>
      <c r="P22" s="258">
        <f t="shared" si="8"/>
        <v>0.77393760615384366</v>
      </c>
      <c r="Q22" s="200">
        <f t="shared" si="9"/>
        <v>1.9691996427509038E-2</v>
      </c>
      <c r="R22" s="207">
        <f>PRODUCT((1+R10),(1+R11),(1+R12),(1+R13),(1+R14),(1+R15),(1+R16),(1+R17),(1+R18),(1+R19),(1+R20),(1+R21))-1</f>
        <v>0.53832402016333858</v>
      </c>
      <c r="S22" s="208">
        <f>PRODUCT((1+S10),(1+S11),(1+S12),(1+S13),(1+S14),(1+S15),(1+S16),(1+S17),(1+S18),(1+S19),(1+S20),(1+S21))-1</f>
        <v>0.35753044046208426</v>
      </c>
      <c r="T22" s="209">
        <f t="shared" si="10"/>
        <v>-0.18079357970125431</v>
      </c>
      <c r="U22" s="205">
        <f t="shared" si="11"/>
        <v>-0.33584527706268397</v>
      </c>
      <c r="V22" s="201">
        <f>(4*SUM(V10:V11,V13:V14,V16:V17,V19:V20)+5*SUM(V12,V15,V18,V21))/52</f>
        <v>139.10101394999998</v>
      </c>
      <c r="W22" s="202">
        <f>(4*SUM(W10:W11,W13:W14,W16:W17,W19:W20)+5*SUM(W12,W15,W18,W21))/52</f>
        <v>145.27394350961538</v>
      </c>
      <c r="X22" s="202">
        <f t="shared" si="12"/>
        <v>6.1729295596153975</v>
      </c>
      <c r="Y22" s="200">
        <f t="shared" si="13"/>
        <v>4.4377315335992186E-2</v>
      </c>
      <c r="Z22" s="210">
        <f>(4*SUM(Z10:Z11,Z13:Z14,Z16:Z17,Z19:Z20)+5*SUM(Z12,Z15,Z18,Z21))/52</f>
        <v>235.38695890837249</v>
      </c>
      <c r="AA22" s="209">
        <f>(4*SUM(AA10:AA11,AA13:AA14,AA16:AA17,AA19:AA20)+5*SUM(AA12,AA15,AA18,AA21))/52</f>
        <v>341.53209021119312</v>
      </c>
      <c r="AB22" s="209">
        <f t="shared" si="0"/>
        <v>106.14513130282063</v>
      </c>
      <c r="AC22" s="205">
        <f t="shared" si="1"/>
        <v>0.45093887866633697</v>
      </c>
      <c r="AD22" s="210">
        <f>(4*SUM(AD10:AD11,AD13:AD14,AD16:AD17,AD19:AD20)+5*SUM(AD12,AD15,AD18,AD21))/52</f>
        <v>1.6835675975782005</v>
      </c>
      <c r="AE22" s="209">
        <f>(4*SUM(AE10:AE11,AE13:AE14,AE16:AE17,AE19:AE20)+5*SUM(AE12,AE15,AE18,AE21))/52</f>
        <v>2.3545767625035086</v>
      </c>
      <c r="AF22" s="209">
        <f t="shared" si="14"/>
        <v>0.67100916492530804</v>
      </c>
      <c r="AG22" s="205">
        <f t="shared" si="15"/>
        <v>0.39856383901100839</v>
      </c>
      <c r="AH22" s="201">
        <f>(4*SUM(AH10:AH11,AH13:AH14,AH16:AH17,AH19:AH20)+5*SUM(AH12,AH15,AH18,AH21))/52</f>
        <v>1.2377110485384615</v>
      </c>
      <c r="AI22" s="202">
        <f>(4*SUM(AI10:AI11,AI13:AI14,AI16:AI17,AI19:AI20)+5*SUM(AI12,AI15,AI18,AI21))/52</f>
        <v>1.3633647027692308</v>
      </c>
      <c r="AJ22" s="202">
        <f t="shared" si="16"/>
        <v>0.12565365423076935</v>
      </c>
      <c r="AK22" s="200">
        <f t="shared" si="17"/>
        <v>0.10152099262517386</v>
      </c>
      <c r="AL22" s="201">
        <f>(4*SUM(AL10:AL11,AL13:AL14,AL16:AL17,AL19:AL20)+5*SUM(AL12,AL15,AL18,AL21))/52</f>
        <v>22.897200351923079</v>
      </c>
      <c r="AM22" s="202">
        <f>(4*SUM(AM10:AM11,AM13:AM14,AM16:AM17,AM19:AM20)+5*SUM(AM12,AM15,AM18,AM21))/52</f>
        <v>22.803900269038461</v>
      </c>
      <c r="AN22" s="202">
        <f t="shared" si="18"/>
        <v>-9.3300082884617552E-2</v>
      </c>
      <c r="AO22" s="200">
        <f t="shared" si="19"/>
        <v>-4.0747375858455771E-3</v>
      </c>
      <c r="AP22" s="201">
        <f>(4*SUM(AP10:AP11,AP13:AP14,AP16:AP17,AP19:AP20)+5*SUM(AP12,AP15,AP18,AP21))/52</f>
        <v>24.512333040961536</v>
      </c>
      <c r="AQ22" s="202">
        <f>(4*SUM(AQ10:AQ11,AQ13:AQ14,AQ16:AQ17,AQ19:AQ20)+5*SUM(AQ12,AQ15,AQ18,AQ21))/52</f>
        <v>25.131132840769229</v>
      </c>
      <c r="AR22" s="202">
        <f t="shared" si="20"/>
        <v>0.61879979980769306</v>
      </c>
      <c r="AS22" s="213">
        <f t="shared" si="21"/>
        <v>2.5244426908431872E-2</v>
      </c>
      <c r="AT22" s="201">
        <f>(4*SUM(AT10:AT11,AT13:AT14,AT16:AT17,AT19:AT20)+5*SUM(AT12,AT15,AT18,AT21))/52</f>
        <v>24.512333040961536</v>
      </c>
      <c r="AU22" s="202">
        <f>(4*SUM(AU10:AU11,AU13:AU14,AU16:AU17,AU19:AU20)+5*SUM(AU12,AU15,AU18,AU21))/52</f>
        <v>25.131132840769229</v>
      </c>
      <c r="AV22" s="202">
        <f t="shared" si="22"/>
        <v>0.61879979980769306</v>
      </c>
      <c r="AW22" s="213">
        <f t="shared" si="23"/>
        <v>2.5244426908431872E-2</v>
      </c>
    </row>
    <row r="23" spans="1:49" ht="15" thickBot="1" x14ac:dyDescent="0.35">
      <c r="A23" s="39" t="str">
        <f>"RLee - "&amp;'RLee DT'!A22:K22</f>
        <v>RLee - w43</v>
      </c>
      <c r="B23" s="33"/>
      <c r="C23" s="33"/>
      <c r="D23" s="33"/>
      <c r="E23" s="33"/>
      <c r="F23" s="33"/>
      <c r="G23" s="33"/>
      <c r="J23" s="33"/>
      <c r="K23" s="33"/>
      <c r="N23" s="29"/>
      <c r="O23" s="29"/>
    </row>
    <row r="24" spans="1:49" ht="15" thickBot="1" x14ac:dyDescent="0.35">
      <c r="A24" s="30"/>
      <c r="B24" s="312" t="s">
        <v>21</v>
      </c>
      <c r="C24" s="313"/>
      <c r="D24" s="313"/>
      <c r="E24" s="313"/>
      <c r="F24" s="313"/>
      <c r="G24" s="313"/>
      <c r="H24" s="313"/>
      <c r="I24" s="313"/>
      <c r="J24" s="313"/>
      <c r="K24" s="313"/>
      <c r="L24" s="313"/>
      <c r="M24" s="314"/>
      <c r="N24" s="312" t="s">
        <v>22</v>
      </c>
      <c r="O24" s="313"/>
      <c r="P24" s="313"/>
      <c r="Q24" s="314"/>
      <c r="R24" s="312" t="s">
        <v>41</v>
      </c>
      <c r="S24" s="313"/>
      <c r="T24" s="313"/>
      <c r="U24" s="314"/>
      <c r="V24" s="312" t="s">
        <v>23</v>
      </c>
      <c r="W24" s="313"/>
      <c r="X24" s="313"/>
      <c r="Y24" s="314"/>
      <c r="Z24" s="312" t="s">
        <v>40</v>
      </c>
      <c r="AA24" s="313"/>
      <c r="AB24" s="313"/>
      <c r="AC24" s="313"/>
      <c r="AD24" s="313"/>
      <c r="AE24" s="313"/>
      <c r="AF24" s="313"/>
      <c r="AG24" s="314"/>
      <c r="AH24" s="312" t="s">
        <v>24</v>
      </c>
      <c r="AI24" s="313"/>
      <c r="AJ24" s="313"/>
      <c r="AK24" s="314"/>
      <c r="AL24" s="312" t="s">
        <v>25</v>
      </c>
      <c r="AM24" s="313"/>
      <c r="AN24" s="313"/>
      <c r="AO24" s="314"/>
      <c r="AP24" s="312" t="s">
        <v>60</v>
      </c>
      <c r="AQ24" s="313"/>
      <c r="AR24" s="313"/>
      <c r="AS24" s="314"/>
      <c r="AT24" s="312" t="s">
        <v>111</v>
      </c>
      <c r="AU24" s="313"/>
      <c r="AV24" s="313"/>
      <c r="AW24" s="314"/>
    </row>
    <row r="25" spans="1:49" ht="15.75" customHeight="1" thickBot="1" x14ac:dyDescent="0.35">
      <c r="A25" s="2"/>
      <c r="B25" s="312" t="s">
        <v>68</v>
      </c>
      <c r="C25" s="313"/>
      <c r="D25" s="313"/>
      <c r="E25" s="314"/>
      <c r="F25" s="312" t="s">
        <v>81</v>
      </c>
      <c r="G25" s="313"/>
      <c r="H25" s="313"/>
      <c r="I25" s="314"/>
      <c r="J25" s="320" t="s">
        <v>57</v>
      </c>
      <c r="K25" s="313"/>
      <c r="L25" s="313"/>
      <c r="M25" s="314"/>
      <c r="N25" s="312" t="s">
        <v>14</v>
      </c>
      <c r="O25" s="313"/>
      <c r="P25" s="313"/>
      <c r="Q25" s="314"/>
      <c r="R25" s="312" t="s">
        <v>35</v>
      </c>
      <c r="S25" s="313"/>
      <c r="T25" s="313"/>
      <c r="U25" s="314"/>
      <c r="V25" s="312" t="s">
        <v>113</v>
      </c>
      <c r="W25" s="313"/>
      <c r="X25" s="313"/>
      <c r="Y25" s="314"/>
      <c r="Z25" s="312" t="s">
        <v>84</v>
      </c>
      <c r="AA25" s="313"/>
      <c r="AB25" s="313"/>
      <c r="AC25" s="314"/>
      <c r="AD25" s="312" t="s">
        <v>18</v>
      </c>
      <c r="AE25" s="313"/>
      <c r="AF25" s="313"/>
      <c r="AG25" s="314"/>
      <c r="AH25" s="312" t="s">
        <v>73</v>
      </c>
      <c r="AI25" s="313"/>
      <c r="AJ25" s="313"/>
      <c r="AK25" s="314"/>
      <c r="AL25" s="312" t="s">
        <v>16</v>
      </c>
      <c r="AM25" s="313"/>
      <c r="AN25" s="313"/>
      <c r="AO25" s="314"/>
      <c r="AP25" s="312" t="s">
        <v>71</v>
      </c>
      <c r="AQ25" s="313"/>
      <c r="AR25" s="313"/>
      <c r="AS25" s="314"/>
      <c r="AT25" s="312" t="s">
        <v>79</v>
      </c>
      <c r="AU25" s="313"/>
      <c r="AV25" s="313"/>
      <c r="AW25" s="314"/>
    </row>
    <row r="26" spans="1:49" x14ac:dyDescent="0.3">
      <c r="A26" s="1"/>
      <c r="B26" s="12">
        <v>2020</v>
      </c>
      <c r="C26" s="13">
        <v>2021</v>
      </c>
      <c r="D26" s="13" t="s">
        <v>12</v>
      </c>
      <c r="E26" s="14" t="s">
        <v>13</v>
      </c>
      <c r="F26" s="12">
        <v>2020</v>
      </c>
      <c r="G26" s="13">
        <v>2021</v>
      </c>
      <c r="H26" s="13" t="s">
        <v>12</v>
      </c>
      <c r="I26" s="14" t="s">
        <v>13</v>
      </c>
      <c r="J26" s="44">
        <v>2020</v>
      </c>
      <c r="K26" s="45">
        <v>2021</v>
      </c>
      <c r="L26" s="45" t="s">
        <v>12</v>
      </c>
      <c r="M26" s="46" t="s">
        <v>13</v>
      </c>
      <c r="N26" s="12">
        <v>2020</v>
      </c>
      <c r="O26" s="13">
        <v>2021</v>
      </c>
      <c r="P26" s="13" t="s">
        <v>12</v>
      </c>
      <c r="Q26" s="14" t="s">
        <v>13</v>
      </c>
      <c r="R26" s="44">
        <v>2020</v>
      </c>
      <c r="S26" s="45">
        <v>2021</v>
      </c>
      <c r="T26" s="45" t="s">
        <v>12</v>
      </c>
      <c r="U26" s="46" t="s">
        <v>13</v>
      </c>
      <c r="V26" s="12">
        <v>2020</v>
      </c>
      <c r="W26" s="13">
        <v>2021</v>
      </c>
      <c r="X26" s="13" t="s">
        <v>12</v>
      </c>
      <c r="Y26" s="14" t="s">
        <v>13</v>
      </c>
      <c r="Z26" s="44">
        <v>2020</v>
      </c>
      <c r="AA26" s="45">
        <v>2021</v>
      </c>
      <c r="AB26" s="45" t="s">
        <v>12</v>
      </c>
      <c r="AC26" s="46" t="s">
        <v>13</v>
      </c>
      <c r="AD26" s="44">
        <v>2020</v>
      </c>
      <c r="AE26" s="45">
        <v>2021</v>
      </c>
      <c r="AF26" s="45" t="s">
        <v>12</v>
      </c>
      <c r="AG26" s="46" t="s">
        <v>13</v>
      </c>
      <c r="AH26" s="12">
        <v>2020</v>
      </c>
      <c r="AI26" s="13">
        <v>2021</v>
      </c>
      <c r="AJ26" s="13" t="s">
        <v>12</v>
      </c>
      <c r="AK26" s="14" t="s">
        <v>13</v>
      </c>
      <c r="AL26" s="12">
        <v>2020</v>
      </c>
      <c r="AM26" s="13">
        <v>2021</v>
      </c>
      <c r="AN26" s="13" t="s">
        <v>12</v>
      </c>
      <c r="AO26" s="14" t="s">
        <v>13</v>
      </c>
      <c r="AP26" s="12">
        <v>2020</v>
      </c>
      <c r="AQ26" s="13">
        <v>2021</v>
      </c>
      <c r="AR26" s="13" t="s">
        <v>12</v>
      </c>
      <c r="AS26" s="14" t="s">
        <v>13</v>
      </c>
      <c r="AT26" s="12">
        <v>2020</v>
      </c>
      <c r="AU26" s="13">
        <v>2021</v>
      </c>
      <c r="AV26" s="13" t="s">
        <v>12</v>
      </c>
      <c r="AW26" s="14" t="s">
        <v>13</v>
      </c>
    </row>
    <row r="27" spans="1:49" x14ac:dyDescent="0.3">
      <c r="A27" s="1" t="s">
        <v>0</v>
      </c>
      <c r="B27" s="23">
        <v>25</v>
      </c>
      <c r="C27" s="24">
        <v>24</v>
      </c>
      <c r="D27" s="24">
        <f>C27-B27</f>
        <v>-1</v>
      </c>
      <c r="E27" s="17">
        <f>(C27-B27)/B27</f>
        <v>-0.04</v>
      </c>
      <c r="F27" s="15">
        <v>0.83035714275000005</v>
      </c>
      <c r="G27" s="16">
        <v>0.70238095199999995</v>
      </c>
      <c r="H27" s="16">
        <f>G27-F27</f>
        <v>-0.12797619075000011</v>
      </c>
      <c r="I27" s="17">
        <f>(G27-F27)/F27</f>
        <v>-0.15412186414891907</v>
      </c>
      <c r="J27" s="76">
        <v>21</v>
      </c>
      <c r="K27" s="77">
        <v>17</v>
      </c>
      <c r="L27" s="77">
        <f>K27-J27</f>
        <v>-4</v>
      </c>
      <c r="M27" s="50">
        <f>(K27-J27)/J27</f>
        <v>-0.19047619047619047</v>
      </c>
      <c r="N27" s="251">
        <v>33.1</v>
      </c>
      <c r="O27" s="252">
        <v>43.034500000000001</v>
      </c>
      <c r="P27" s="252">
        <f>O27-N27</f>
        <v>9.9344999999999999</v>
      </c>
      <c r="Q27" s="60">
        <f>(O27-N27)/N27</f>
        <v>0.30013595166163143</v>
      </c>
      <c r="R27" s="47">
        <v>2.9062409093474573E-2</v>
      </c>
      <c r="S27" s="48">
        <v>2.2528949260559816E-2</v>
      </c>
      <c r="T27" s="49">
        <f>S27-R27</f>
        <v>-6.5334598329147564E-3</v>
      </c>
      <c r="U27" s="50">
        <f>(S27-R27)/R27</f>
        <v>-0.22480792324892723</v>
      </c>
      <c r="V27" s="15">
        <v>133.0082865</v>
      </c>
      <c r="W27" s="16">
        <v>148.03320239999999</v>
      </c>
      <c r="X27" s="16">
        <f>W27-V27</f>
        <v>15.024915899999996</v>
      </c>
      <c r="Y27" s="17">
        <f>(W27-V27)/V27</f>
        <v>0.11296225442314826</v>
      </c>
      <c r="Z27" s="55">
        <v>186.81268634675999</v>
      </c>
      <c r="AA27" s="49">
        <v>314.29409903037998</v>
      </c>
      <c r="AB27" s="49">
        <f t="shared" ref="AB27:AB38" si="24">AA27-Z27</f>
        <v>127.48141268361999</v>
      </c>
      <c r="AC27" s="50">
        <f t="shared" ref="AC27:AC38" si="25">(AA27-Z27)/Z27</f>
        <v>0.68240233132235018</v>
      </c>
      <c r="AD27" s="55">
        <v>1.4045191564898301</v>
      </c>
      <c r="AE27" s="49">
        <v>2.12313247312039</v>
      </c>
      <c r="AF27" s="49">
        <f>AE27-AD27</f>
        <v>0.71861331663055994</v>
      </c>
      <c r="AG27" s="50">
        <f>(AE27-AD27)/AD27</f>
        <v>0.51164365634322573</v>
      </c>
      <c r="AH27" s="15">
        <v>1.146392002</v>
      </c>
      <c r="AI27" s="16">
        <v>1.310174156</v>
      </c>
      <c r="AJ27" s="16">
        <f>AI27-AH27</f>
        <v>0.16378215399999996</v>
      </c>
      <c r="AK27" s="17">
        <f>(AI27-AH27)/AH27</f>
        <v>0.14286749533690479</v>
      </c>
      <c r="AL27" s="15">
        <v>28.716961515000001</v>
      </c>
      <c r="AM27" s="16">
        <v>29.305191220000001</v>
      </c>
      <c r="AN27" s="16">
        <f>AM27-AL27</f>
        <v>0.58822970499999983</v>
      </c>
      <c r="AO27" s="17">
        <f>(AM27-AL27)/AL27</f>
        <v>2.0483702800268205E-2</v>
      </c>
      <c r="AP27" s="15">
        <v>30.726466492499998</v>
      </c>
      <c r="AQ27" s="16">
        <v>31.470912755000001</v>
      </c>
      <c r="AR27" s="16">
        <f>AQ27-AP27</f>
        <v>0.74444626250000212</v>
      </c>
      <c r="AS27" s="17">
        <f>(AQ27-AP27)/AP27</f>
        <v>2.422817679610877E-2</v>
      </c>
      <c r="AT27" s="15">
        <v>30.726466492499998</v>
      </c>
      <c r="AU27" s="16">
        <v>31.470912755000001</v>
      </c>
      <c r="AV27" s="16">
        <f>AU27-AT27</f>
        <v>0.74444626250000212</v>
      </c>
      <c r="AW27" s="17">
        <f>(AU27-AT27)/AT27</f>
        <v>2.422817679610877E-2</v>
      </c>
    </row>
    <row r="28" spans="1:49" x14ac:dyDescent="0.3">
      <c r="A28" s="1" t="s">
        <v>1</v>
      </c>
      <c r="B28" s="23">
        <v>28</v>
      </c>
      <c r="C28" s="24">
        <v>28</v>
      </c>
      <c r="D28" s="24">
        <f t="shared" ref="D28:D38" si="26">C28-B28</f>
        <v>0</v>
      </c>
      <c r="E28" s="17">
        <f t="shared" ref="E28:E38" si="27">(C28-B28)/B28</f>
        <v>0</v>
      </c>
      <c r="F28" s="15">
        <v>0.85714285700000004</v>
      </c>
      <c r="G28" s="16">
        <v>0.71428571399999996</v>
      </c>
      <c r="H28" s="16">
        <f t="shared" ref="H28:H38" si="28">G28-F28</f>
        <v>-0.14285714300000008</v>
      </c>
      <c r="I28" s="17">
        <f t="shared" ref="I28:I38" si="29">(G28-F28)/F28</f>
        <v>-0.1666666668611112</v>
      </c>
      <c r="J28" s="76">
        <v>24</v>
      </c>
      <c r="K28" s="77">
        <v>20</v>
      </c>
      <c r="L28" s="77">
        <f t="shared" ref="L28:L38" si="30">K28-J28</f>
        <v>-4</v>
      </c>
      <c r="M28" s="50">
        <f t="shared" ref="M28:M38" si="31">(K28-J28)/J28</f>
        <v>-0.16666666666666666</v>
      </c>
      <c r="N28" s="251">
        <v>36.04</v>
      </c>
      <c r="O28" s="252">
        <v>42.734993000000003</v>
      </c>
      <c r="P28" s="252">
        <f t="shared" ref="P28:P38" si="32">O28-N28</f>
        <v>6.6949930000000037</v>
      </c>
      <c r="Q28" s="60">
        <f t="shared" ref="Q28:Q38" si="33">(O28-N28)/N28</f>
        <v>0.18576562153163162</v>
      </c>
      <c r="R28" s="47">
        <v>3.7656221899571962E-2</v>
      </c>
      <c r="S28" s="48">
        <v>2.0136293736429556E-2</v>
      </c>
      <c r="T28" s="49">
        <f t="shared" ref="T28:T38" si="34">S28-R28</f>
        <v>-1.7519928163142406E-2</v>
      </c>
      <c r="U28" s="50">
        <f t="shared" ref="U28:U38" si="35">(S28-R28)/R28</f>
        <v>-0.46525985028098515</v>
      </c>
      <c r="V28" s="15">
        <v>133.62641679999999</v>
      </c>
      <c r="W28" s="16">
        <v>147.13453709999999</v>
      </c>
      <c r="X28" s="16">
        <f t="shared" ref="X28:X38" si="36">W28-V28</f>
        <v>13.508120300000002</v>
      </c>
      <c r="Y28" s="17">
        <f t="shared" ref="Y28:Y38" si="37">(W28-V28)/V28</f>
        <v>0.10108869655779024</v>
      </c>
      <c r="Z28" s="55">
        <v>192.74824547679401</v>
      </c>
      <c r="AA28" s="49">
        <v>326.75587492013102</v>
      </c>
      <c r="AB28" s="49">
        <f t="shared" si="24"/>
        <v>134.00762944333701</v>
      </c>
      <c r="AC28" s="50">
        <f t="shared" si="25"/>
        <v>0.69524694822434019</v>
      </c>
      <c r="AD28" s="55">
        <v>1.44244117371506</v>
      </c>
      <c r="AE28" s="49">
        <v>2.2207965668839198</v>
      </c>
      <c r="AF28" s="49">
        <f t="shared" ref="AF28:AF38" si="38">AE28-AD28</f>
        <v>0.77835539316885982</v>
      </c>
      <c r="AG28" s="50">
        <f t="shared" ref="AG28:AG38" si="39">(AE28-AD28)/AD28</f>
        <v>0.53960979993671221</v>
      </c>
      <c r="AH28" s="15">
        <v>1.162704213</v>
      </c>
      <c r="AI28" s="16">
        <v>1.313304966</v>
      </c>
      <c r="AJ28" s="16">
        <f t="shared" ref="AJ28:AJ38" si="40">AI28-AH28</f>
        <v>0.15060075299999998</v>
      </c>
      <c r="AK28" s="17">
        <f t="shared" ref="AK28:AK38" si="41">(AI28-AH28)/AH28</f>
        <v>0.12952628133291194</v>
      </c>
      <c r="AL28" s="15">
        <v>30.6368263775</v>
      </c>
      <c r="AM28" s="16">
        <v>30.132801310000001</v>
      </c>
      <c r="AN28" s="16">
        <f t="shared" ref="AN28:AN38" si="42">AM28-AL28</f>
        <v>-0.50402506749999887</v>
      </c>
      <c r="AO28" s="17">
        <f t="shared" ref="AO28:AO38" si="43">(AM28-AL28)/AL28</f>
        <v>-1.6451608312477172E-2</v>
      </c>
      <c r="AP28" s="15">
        <v>30.926132602500001</v>
      </c>
      <c r="AQ28" s="16">
        <v>31.744990274999999</v>
      </c>
      <c r="AR28" s="16">
        <f t="shared" ref="AR28:AR38" si="44">AQ28-AP28</f>
        <v>0.8188576724999983</v>
      </c>
      <c r="AS28" s="17">
        <f t="shared" ref="AS28:AS38" si="45">(AQ28-AP28)/AP28</f>
        <v>2.6477855573632365E-2</v>
      </c>
      <c r="AT28" s="15">
        <v>30.926132602500001</v>
      </c>
      <c r="AU28" s="16">
        <v>31.744990274999999</v>
      </c>
      <c r="AV28" s="16">
        <f t="shared" ref="AV28:AV38" si="46">AU28-AT28</f>
        <v>0.8188576724999983</v>
      </c>
      <c r="AW28" s="17">
        <f t="shared" ref="AW28:AW38" si="47">(AU28-AT28)/AT28</f>
        <v>2.6477855573632365E-2</v>
      </c>
    </row>
    <row r="29" spans="1:49" x14ac:dyDescent="0.3">
      <c r="A29" s="1" t="s">
        <v>2</v>
      </c>
      <c r="B29" s="23">
        <v>35</v>
      </c>
      <c r="C29" s="24">
        <v>35</v>
      </c>
      <c r="D29" s="24">
        <f t="shared" si="26"/>
        <v>0</v>
      </c>
      <c r="E29" s="17">
        <f t="shared" si="27"/>
        <v>0</v>
      </c>
      <c r="F29" s="15">
        <v>0.77142857119999997</v>
      </c>
      <c r="G29" s="16">
        <v>0.59999999959999994</v>
      </c>
      <c r="H29" s="16">
        <f t="shared" si="28"/>
        <v>-0.17142857160000002</v>
      </c>
      <c r="I29" s="17">
        <f t="shared" si="29"/>
        <v>-0.22222222251028811</v>
      </c>
      <c r="J29" s="76">
        <v>27</v>
      </c>
      <c r="K29" s="77">
        <v>21</v>
      </c>
      <c r="L29" s="77">
        <f t="shared" si="30"/>
        <v>-6</v>
      </c>
      <c r="M29" s="50">
        <f t="shared" si="31"/>
        <v>-0.22222222222222221</v>
      </c>
      <c r="N29" s="251">
        <v>34.79</v>
      </c>
      <c r="O29" s="252">
        <v>41.230609999999999</v>
      </c>
      <c r="P29" s="252">
        <f t="shared" si="32"/>
        <v>6.4406099999999995</v>
      </c>
      <c r="Q29" s="60">
        <f t="shared" si="33"/>
        <v>0.18512819775797643</v>
      </c>
      <c r="R29" s="47">
        <v>4.6795401882895993E-2</v>
      </c>
      <c r="S29" s="48">
        <v>3.3434686436722538E-2</v>
      </c>
      <c r="T29" s="49">
        <f t="shared" si="34"/>
        <v>-1.3360715446173455E-2</v>
      </c>
      <c r="U29" s="50">
        <f t="shared" si="35"/>
        <v>-0.28551342457979567</v>
      </c>
      <c r="V29" s="15">
        <v>135.966478</v>
      </c>
      <c r="W29" s="16">
        <v>146.20523420000001</v>
      </c>
      <c r="X29" s="16">
        <f t="shared" si="36"/>
        <v>10.238756200000012</v>
      </c>
      <c r="Y29" s="17">
        <f t="shared" si="37"/>
        <v>7.5303533272370354E-2</v>
      </c>
      <c r="Z29" s="55">
        <v>203.184097320815</v>
      </c>
      <c r="AA29" s="49">
        <v>332.16</v>
      </c>
      <c r="AB29" s="49">
        <f t="shared" si="24"/>
        <v>128.97590267918503</v>
      </c>
      <c r="AC29" s="50">
        <f t="shared" si="25"/>
        <v>0.63477360866259203</v>
      </c>
      <c r="AD29" s="55">
        <v>1.4943690559688001</v>
      </c>
      <c r="AE29" s="49">
        <v>2.2718748879222499</v>
      </c>
      <c r="AF29" s="49">
        <f t="shared" si="38"/>
        <v>0.7775058319534498</v>
      </c>
      <c r="AG29" s="50">
        <f t="shared" si="39"/>
        <v>0.52029037194523042</v>
      </c>
      <c r="AH29" s="15">
        <v>1.1962909260000001</v>
      </c>
      <c r="AI29" s="16">
        <v>1.3000773489999999</v>
      </c>
      <c r="AJ29" s="16">
        <f t="shared" si="40"/>
        <v>0.10378642299999985</v>
      </c>
      <c r="AK29" s="17">
        <f t="shared" si="41"/>
        <v>8.6756842122866565E-2</v>
      </c>
      <c r="AL29" s="15">
        <v>24.990314550000001</v>
      </c>
      <c r="AM29" s="16">
        <v>28.295607845999999</v>
      </c>
      <c r="AN29" s="16">
        <f t="shared" si="42"/>
        <v>3.3052932959999985</v>
      </c>
      <c r="AO29" s="17">
        <f t="shared" si="43"/>
        <v>0.13226297289643352</v>
      </c>
      <c r="AP29" s="15">
        <v>28.206274698000001</v>
      </c>
      <c r="AQ29" s="16">
        <v>30.783296016000001</v>
      </c>
      <c r="AR29" s="16">
        <f t="shared" si="44"/>
        <v>2.5770213179999999</v>
      </c>
      <c r="AS29" s="17">
        <f t="shared" si="45"/>
        <v>9.1363405681599161E-2</v>
      </c>
      <c r="AT29" s="15">
        <v>28.206274698000001</v>
      </c>
      <c r="AU29" s="16">
        <v>30.783296016000001</v>
      </c>
      <c r="AV29" s="16">
        <f t="shared" si="46"/>
        <v>2.5770213179999999</v>
      </c>
      <c r="AW29" s="17">
        <f t="shared" si="47"/>
        <v>9.1363405681599161E-2</v>
      </c>
    </row>
    <row r="30" spans="1:49" x14ac:dyDescent="0.3">
      <c r="A30" s="1" t="s">
        <v>3</v>
      </c>
      <c r="B30" s="23">
        <v>28</v>
      </c>
      <c r="C30" s="24">
        <v>28</v>
      </c>
      <c r="D30" s="24">
        <f t="shared" si="26"/>
        <v>0</v>
      </c>
      <c r="E30" s="17">
        <f t="shared" si="27"/>
        <v>0</v>
      </c>
      <c r="F30" s="15">
        <v>0.67857142825000005</v>
      </c>
      <c r="G30" s="16">
        <v>0.60714285675000002</v>
      </c>
      <c r="H30" s="16">
        <f t="shared" si="28"/>
        <v>-7.1428571500000038E-2</v>
      </c>
      <c r="I30" s="17">
        <f t="shared" si="29"/>
        <v>-0.10526315804986154</v>
      </c>
      <c r="J30" s="76">
        <v>19</v>
      </c>
      <c r="K30" s="77">
        <v>17</v>
      </c>
      <c r="L30" s="77">
        <f t="shared" si="30"/>
        <v>-2</v>
      </c>
      <c r="M30" s="50">
        <f t="shared" si="31"/>
        <v>-0.10526315789473684</v>
      </c>
      <c r="N30" s="251">
        <v>34.409999999999997</v>
      </c>
      <c r="O30" s="252">
        <v>39.276279000000002</v>
      </c>
      <c r="P30" s="252">
        <f t="shared" si="32"/>
        <v>4.8662790000000058</v>
      </c>
      <c r="Q30" s="60">
        <f t="shared" si="33"/>
        <v>0.14142048823016584</v>
      </c>
      <c r="R30" s="47">
        <v>3.444697949233122E-2</v>
      </c>
      <c r="S30" s="48">
        <v>1.4965725908725691E-2</v>
      </c>
      <c r="T30" s="49">
        <f t="shared" si="34"/>
        <v>-1.9481253583605529E-2</v>
      </c>
      <c r="U30" s="50">
        <f t="shared" si="35"/>
        <v>-0.56554315852112824</v>
      </c>
      <c r="V30" s="15">
        <v>134.10945939999999</v>
      </c>
      <c r="W30" s="16">
        <v>149.4576572</v>
      </c>
      <c r="X30" s="16">
        <f t="shared" si="36"/>
        <v>15.348197800000008</v>
      </c>
      <c r="Y30" s="17">
        <f t="shared" si="37"/>
        <v>0.11444530362486875</v>
      </c>
      <c r="Z30" s="55">
        <v>206.02047894009601</v>
      </c>
      <c r="AA30" s="49">
        <v>338.87</v>
      </c>
      <c r="AB30" s="49">
        <f t="shared" si="24"/>
        <v>132.84952105990399</v>
      </c>
      <c r="AC30" s="50">
        <f t="shared" si="25"/>
        <v>0.64483648297183249</v>
      </c>
      <c r="AD30" s="55">
        <v>1.53621138953592</v>
      </c>
      <c r="AE30" s="49">
        <v>2.2673311381464099</v>
      </c>
      <c r="AF30" s="49">
        <f t="shared" si="38"/>
        <v>0.73111974861048989</v>
      </c>
      <c r="AG30" s="50">
        <f t="shared" si="39"/>
        <v>0.47592392140209083</v>
      </c>
      <c r="AH30" s="15">
        <v>1.207504927</v>
      </c>
      <c r="AI30" s="16">
        <v>1.3546880210000001</v>
      </c>
      <c r="AJ30" s="16">
        <f t="shared" si="40"/>
        <v>0.14718309400000007</v>
      </c>
      <c r="AK30" s="17">
        <f t="shared" si="41"/>
        <v>0.1218902637239509</v>
      </c>
      <c r="AL30" s="15">
        <v>24.950753809999998</v>
      </c>
      <c r="AM30" s="16">
        <v>22.961671235000001</v>
      </c>
      <c r="AN30" s="16">
        <f t="shared" si="42"/>
        <v>-1.9890825749999976</v>
      </c>
      <c r="AO30" s="17">
        <f t="shared" si="43"/>
        <v>-7.972033992026302E-2</v>
      </c>
      <c r="AP30" s="15">
        <v>26.548912207499999</v>
      </c>
      <c r="AQ30" s="16">
        <v>26.364061732500002</v>
      </c>
      <c r="AR30" s="16">
        <f t="shared" si="44"/>
        <v>-0.18485047499999752</v>
      </c>
      <c r="AS30" s="17">
        <f t="shared" si="45"/>
        <v>-6.9626383768664445E-3</v>
      </c>
      <c r="AT30" s="15">
        <v>26.548912207499999</v>
      </c>
      <c r="AU30" s="16">
        <v>26.364061732500002</v>
      </c>
      <c r="AV30" s="16">
        <f t="shared" si="46"/>
        <v>-0.18485047499999752</v>
      </c>
      <c r="AW30" s="17">
        <f t="shared" si="47"/>
        <v>-6.9626383768664445E-3</v>
      </c>
    </row>
    <row r="31" spans="1:49" x14ac:dyDescent="0.3">
      <c r="A31" s="1" t="s">
        <v>4</v>
      </c>
      <c r="B31" s="23">
        <v>28</v>
      </c>
      <c r="C31" s="24">
        <v>28</v>
      </c>
      <c r="D31" s="24">
        <f t="shared" si="26"/>
        <v>0</v>
      </c>
      <c r="E31" s="17">
        <f t="shared" si="27"/>
        <v>0</v>
      </c>
      <c r="F31" s="15">
        <v>0.60714285675000002</v>
      </c>
      <c r="G31" s="16">
        <v>0.67857142825000005</v>
      </c>
      <c r="H31" s="16">
        <f t="shared" si="28"/>
        <v>7.1428571500000038E-2</v>
      </c>
      <c r="I31" s="17">
        <f t="shared" si="29"/>
        <v>0.1176470590173011</v>
      </c>
      <c r="J31" s="76">
        <v>17</v>
      </c>
      <c r="K31" s="77">
        <v>19</v>
      </c>
      <c r="L31" s="77">
        <f t="shared" si="30"/>
        <v>2</v>
      </c>
      <c r="M31" s="50">
        <f t="shared" si="31"/>
        <v>0.11764705882352941</v>
      </c>
      <c r="N31" s="251">
        <v>36.47</v>
      </c>
      <c r="O31" s="252">
        <v>38.416435</v>
      </c>
      <c r="P31" s="252">
        <f t="shared" si="32"/>
        <v>1.946435000000001</v>
      </c>
      <c r="Q31" s="60">
        <f t="shared" si="33"/>
        <v>5.3370852755689639E-2</v>
      </c>
      <c r="R31" s="47">
        <v>3.0590696999836187E-2</v>
      </c>
      <c r="S31" s="48">
        <v>1.5427362512386189E-2</v>
      </c>
      <c r="T31" s="49">
        <f t="shared" si="34"/>
        <v>-1.5163334487449998E-2</v>
      </c>
      <c r="U31" s="50">
        <f t="shared" si="35"/>
        <v>-0.49568450459076485</v>
      </c>
      <c r="V31" s="15">
        <v>133.035887</v>
      </c>
      <c r="W31" s="16">
        <v>146.76087910000001</v>
      </c>
      <c r="X31" s="16">
        <f t="shared" si="36"/>
        <v>13.724992100000009</v>
      </c>
      <c r="Y31" s="17">
        <f t="shared" si="37"/>
        <v>0.10316759191450356</v>
      </c>
      <c r="Z31" s="55">
        <v>212.95483705310801</v>
      </c>
      <c r="AA31" s="49">
        <v>332.09</v>
      </c>
      <c r="AB31" s="49">
        <f t="shared" si="24"/>
        <v>119.13516294689197</v>
      </c>
      <c r="AC31" s="50">
        <f t="shared" si="25"/>
        <v>0.55943863307120512</v>
      </c>
      <c r="AD31" s="55">
        <v>1.60073226789643</v>
      </c>
      <c r="AE31" s="49">
        <v>2.26279647587012</v>
      </c>
      <c r="AF31" s="49">
        <f t="shared" si="38"/>
        <v>0.66206420797369003</v>
      </c>
      <c r="AG31" s="50">
        <f t="shared" si="39"/>
        <v>0.41360083834864425</v>
      </c>
      <c r="AH31" s="15">
        <v>1.2166898399999999</v>
      </c>
      <c r="AI31" s="16">
        <v>1.355383534</v>
      </c>
      <c r="AJ31" s="16">
        <f t="shared" si="40"/>
        <v>0.13869369400000009</v>
      </c>
      <c r="AK31" s="17">
        <f t="shared" si="41"/>
        <v>0.11399264581678442</v>
      </c>
      <c r="AL31" s="15">
        <v>20.744345934999998</v>
      </c>
      <c r="AM31" s="16">
        <v>20.920309329999998</v>
      </c>
      <c r="AN31" s="16">
        <f t="shared" si="42"/>
        <v>0.17596339500000013</v>
      </c>
      <c r="AO31" s="17">
        <f t="shared" si="43"/>
        <v>8.4824749621588945E-3</v>
      </c>
      <c r="AP31" s="15">
        <v>21.863471244999999</v>
      </c>
      <c r="AQ31" s="16">
        <v>23.355679117499999</v>
      </c>
      <c r="AR31" s="16">
        <f t="shared" si="44"/>
        <v>1.4922078724999999</v>
      </c>
      <c r="AS31" s="17">
        <f t="shared" si="45"/>
        <v>6.825118736994959E-2</v>
      </c>
      <c r="AT31" s="15">
        <v>21.863471244999999</v>
      </c>
      <c r="AU31" s="16">
        <v>23.355679117499999</v>
      </c>
      <c r="AV31" s="16">
        <f t="shared" si="46"/>
        <v>1.4922078724999999</v>
      </c>
      <c r="AW31" s="17">
        <f t="shared" si="47"/>
        <v>6.825118736994959E-2</v>
      </c>
    </row>
    <row r="32" spans="1:49" x14ac:dyDescent="0.3">
      <c r="A32" s="1" t="s">
        <v>5</v>
      </c>
      <c r="B32" s="23">
        <v>35</v>
      </c>
      <c r="C32" s="24">
        <v>35</v>
      </c>
      <c r="D32" s="24">
        <f t="shared" si="26"/>
        <v>0</v>
      </c>
      <c r="E32" s="17">
        <f t="shared" si="27"/>
        <v>0</v>
      </c>
      <c r="F32" s="15">
        <v>0.6285714282</v>
      </c>
      <c r="G32" s="16">
        <v>0.65714285679999995</v>
      </c>
      <c r="H32" s="16">
        <f t="shared" si="28"/>
        <v>2.8571428599999948E-2</v>
      </c>
      <c r="I32" s="17">
        <f t="shared" si="29"/>
        <v>4.5454545526859423E-2</v>
      </c>
      <c r="J32" s="76">
        <v>22</v>
      </c>
      <c r="K32" s="77">
        <v>23</v>
      </c>
      <c r="L32" s="77">
        <f t="shared" si="30"/>
        <v>1</v>
      </c>
      <c r="M32" s="50">
        <f t="shared" si="31"/>
        <v>4.5454545454545456E-2</v>
      </c>
      <c r="N32" s="251">
        <v>40.57</v>
      </c>
      <c r="O32" s="252">
        <v>39.469208000000002</v>
      </c>
      <c r="P32" s="252">
        <f t="shared" si="32"/>
        <v>-1.1007919999999984</v>
      </c>
      <c r="Q32" s="60">
        <f t="shared" si="33"/>
        <v>-2.7133152575794885E-2</v>
      </c>
      <c r="R32" s="47">
        <v>2.7180054023995259E-2</v>
      </c>
      <c r="S32" s="48">
        <v>2.2435391591276943E-2</v>
      </c>
      <c r="T32" s="49">
        <f t="shared" si="34"/>
        <v>-4.7446624327183162E-3</v>
      </c>
      <c r="U32" s="50">
        <f t="shared" si="35"/>
        <v>-0.17456412811135713</v>
      </c>
      <c r="V32" s="15">
        <v>133.21839159999999</v>
      </c>
      <c r="W32" s="16">
        <v>146.6142648</v>
      </c>
      <c r="X32" s="16">
        <f t="shared" si="36"/>
        <v>13.395873200000011</v>
      </c>
      <c r="Y32" s="17">
        <f t="shared" si="37"/>
        <v>0.10055573437804523</v>
      </c>
      <c r="Z32" s="55">
        <v>218.79139954917599</v>
      </c>
      <c r="AA32" s="49">
        <v>332.09</v>
      </c>
      <c r="AB32" s="49">
        <f t="shared" si="24"/>
        <v>113.29860045082398</v>
      </c>
      <c r="AC32" s="50">
        <f t="shared" si="25"/>
        <v>0.51783845564440834</v>
      </c>
      <c r="AD32" s="55">
        <v>1.6423513068617399</v>
      </c>
      <c r="AE32" s="49">
        <v>2.2650592723459901</v>
      </c>
      <c r="AF32" s="49">
        <f t="shared" si="38"/>
        <v>0.62270796548425023</v>
      </c>
      <c r="AG32" s="50">
        <f t="shared" si="39"/>
        <v>0.37915637347659897</v>
      </c>
      <c r="AH32" s="15">
        <v>1.227124272</v>
      </c>
      <c r="AI32" s="16">
        <v>1.355383534</v>
      </c>
      <c r="AJ32" s="16">
        <f t="shared" si="40"/>
        <v>0.12825926200000004</v>
      </c>
      <c r="AK32" s="17">
        <f t="shared" si="41"/>
        <v>0.10452018994861838</v>
      </c>
      <c r="AL32" s="15">
        <v>17.590314425999999</v>
      </c>
      <c r="AM32" s="16">
        <v>17.190840433999998</v>
      </c>
      <c r="AN32" s="16">
        <f t="shared" si="42"/>
        <v>-0.39947399200000078</v>
      </c>
      <c r="AO32" s="17">
        <f t="shared" si="43"/>
        <v>-2.2709883537359844E-2</v>
      </c>
      <c r="AP32" s="15">
        <v>17.837220252000002</v>
      </c>
      <c r="AQ32" s="16">
        <v>20.273258802000001</v>
      </c>
      <c r="AR32" s="16">
        <f t="shared" si="44"/>
        <v>2.4360385499999992</v>
      </c>
      <c r="AS32" s="17">
        <f t="shared" si="45"/>
        <v>0.13657052587702717</v>
      </c>
      <c r="AT32" s="15">
        <v>17.837220252000002</v>
      </c>
      <c r="AU32" s="16">
        <v>20.273258802000001</v>
      </c>
      <c r="AV32" s="16">
        <f t="shared" si="46"/>
        <v>2.4360385499999992</v>
      </c>
      <c r="AW32" s="17">
        <f t="shared" si="47"/>
        <v>0.13657052587702717</v>
      </c>
    </row>
    <row r="33" spans="1:49" x14ac:dyDescent="0.3">
      <c r="A33" s="1" t="s">
        <v>6</v>
      </c>
      <c r="B33" s="23">
        <v>28</v>
      </c>
      <c r="C33" s="24">
        <v>28</v>
      </c>
      <c r="D33" s="24">
        <f t="shared" si="26"/>
        <v>0</v>
      </c>
      <c r="E33" s="17">
        <f t="shared" si="27"/>
        <v>0</v>
      </c>
      <c r="F33" s="15">
        <v>0.64285714250000003</v>
      </c>
      <c r="G33" s="16">
        <v>0.64285714250000003</v>
      </c>
      <c r="H33" s="16">
        <f t="shared" si="28"/>
        <v>0</v>
      </c>
      <c r="I33" s="17">
        <f t="shared" si="29"/>
        <v>0</v>
      </c>
      <c r="J33" s="76">
        <v>18</v>
      </c>
      <c r="K33" s="77">
        <v>18</v>
      </c>
      <c r="L33" s="77">
        <f t="shared" si="30"/>
        <v>0</v>
      </c>
      <c r="M33" s="50">
        <f t="shared" si="31"/>
        <v>0</v>
      </c>
      <c r="N33" s="251">
        <v>44.18</v>
      </c>
      <c r="O33" s="252">
        <v>38.183365000000002</v>
      </c>
      <c r="P33" s="252">
        <f t="shared" si="32"/>
        <v>-5.9966349999999977</v>
      </c>
      <c r="Q33" s="60">
        <f t="shared" si="33"/>
        <v>-0.13573189225894064</v>
      </c>
      <c r="R33" s="47">
        <v>2.1978655386921009E-2</v>
      </c>
      <c r="S33" s="48">
        <v>1.9341946456512993E-2</v>
      </c>
      <c r="T33" s="49">
        <f t="shared" si="34"/>
        <v>-2.636708930408016E-3</v>
      </c>
      <c r="U33" s="50">
        <f t="shared" si="35"/>
        <v>-0.11996679887783585</v>
      </c>
      <c r="V33" s="15">
        <v>131.35381279999999</v>
      </c>
      <c r="W33" s="16">
        <v>147.62739400000001</v>
      </c>
      <c r="X33" s="16">
        <f t="shared" si="36"/>
        <v>16.273581200000024</v>
      </c>
      <c r="Y33" s="17">
        <f t="shared" si="37"/>
        <v>0.12389119777419987</v>
      </c>
      <c r="Z33" s="55">
        <v>225.00545761259599</v>
      </c>
      <c r="AA33" s="49">
        <v>338.73180000000002</v>
      </c>
      <c r="AB33" s="49">
        <f t="shared" si="24"/>
        <v>113.72634238740403</v>
      </c>
      <c r="AC33" s="50">
        <f t="shared" si="25"/>
        <v>0.50543815067460629</v>
      </c>
      <c r="AD33" s="55">
        <v>1.7129724130568</v>
      </c>
      <c r="AE33" s="49">
        <v>2.2945050428864802</v>
      </c>
      <c r="AF33" s="49">
        <f t="shared" si="38"/>
        <v>0.58153262982968013</v>
      </c>
      <c r="AG33" s="50">
        <f t="shared" si="39"/>
        <v>0.33948744614744547</v>
      </c>
      <c r="AH33" s="15">
        <v>1.253020952</v>
      </c>
      <c r="AI33" s="16">
        <v>1.3824912039999999</v>
      </c>
      <c r="AJ33" s="16">
        <f t="shared" si="40"/>
        <v>0.12947025199999995</v>
      </c>
      <c r="AK33" s="17">
        <f t="shared" si="41"/>
        <v>0.10332648611609166</v>
      </c>
      <c r="AL33" s="15">
        <v>14.99628094</v>
      </c>
      <c r="AM33" s="16">
        <v>14.0327862175</v>
      </c>
      <c r="AN33" s="16">
        <f t="shared" si="42"/>
        <v>-0.96349472250000012</v>
      </c>
      <c r="AO33" s="17">
        <f t="shared" si="43"/>
        <v>-6.4248911203713427E-2</v>
      </c>
      <c r="AP33" s="15">
        <v>16.7924351375</v>
      </c>
      <c r="AQ33" s="16">
        <v>14.834197359999999</v>
      </c>
      <c r="AR33" s="16">
        <f t="shared" si="44"/>
        <v>-1.9582377775000008</v>
      </c>
      <c r="AS33" s="17">
        <f t="shared" si="45"/>
        <v>-0.11661428264962985</v>
      </c>
      <c r="AT33" s="15">
        <v>16.7924351375</v>
      </c>
      <c r="AU33" s="16">
        <v>14.834197359999999</v>
      </c>
      <c r="AV33" s="16">
        <f t="shared" si="46"/>
        <v>-1.9582377775000008</v>
      </c>
      <c r="AW33" s="17">
        <f t="shared" si="47"/>
        <v>-0.11661428264962985</v>
      </c>
    </row>
    <row r="34" spans="1:49" x14ac:dyDescent="0.3">
      <c r="A34" s="1" t="s">
        <v>7</v>
      </c>
      <c r="B34" s="23">
        <v>28</v>
      </c>
      <c r="C34" s="24">
        <v>28</v>
      </c>
      <c r="D34" s="24">
        <f t="shared" si="26"/>
        <v>0</v>
      </c>
      <c r="E34" s="17">
        <f t="shared" si="27"/>
        <v>0</v>
      </c>
      <c r="F34" s="15">
        <v>0.67857142825000005</v>
      </c>
      <c r="G34" s="16">
        <v>0.67857142825000005</v>
      </c>
      <c r="H34" s="16">
        <f t="shared" si="28"/>
        <v>0</v>
      </c>
      <c r="I34" s="17">
        <f t="shared" si="29"/>
        <v>0</v>
      </c>
      <c r="J34" s="76">
        <v>19</v>
      </c>
      <c r="K34" s="77">
        <v>19</v>
      </c>
      <c r="L34" s="77">
        <f t="shared" si="30"/>
        <v>0</v>
      </c>
      <c r="M34" s="50">
        <f t="shared" si="31"/>
        <v>0</v>
      </c>
      <c r="N34" s="251">
        <v>41.86</v>
      </c>
      <c r="O34" s="252">
        <v>41.314079</v>
      </c>
      <c r="P34" s="252">
        <f t="shared" si="32"/>
        <v>-0.54592099999999988</v>
      </c>
      <c r="Q34" s="60">
        <f t="shared" si="33"/>
        <v>-1.3041591017677972E-2</v>
      </c>
      <c r="R34" s="47">
        <v>3.9539857870486861E-2</v>
      </c>
      <c r="S34" s="48">
        <v>2.7001103590661213E-2</v>
      </c>
      <c r="T34" s="49">
        <f t="shared" si="34"/>
        <v>-1.2538754279825648E-2</v>
      </c>
      <c r="U34" s="50">
        <f t="shared" si="35"/>
        <v>-0.31711682730111079</v>
      </c>
      <c r="V34" s="15">
        <v>134.81768439999999</v>
      </c>
      <c r="W34" s="16">
        <v>145.8137303</v>
      </c>
      <c r="X34" s="16">
        <f t="shared" si="36"/>
        <v>10.996045900000013</v>
      </c>
      <c r="Y34" s="17">
        <f t="shared" si="37"/>
        <v>8.1562340644978568E-2</v>
      </c>
      <c r="Z34" s="55">
        <v>237.405265367563</v>
      </c>
      <c r="AA34" s="49">
        <v>341.26174618296699</v>
      </c>
      <c r="AB34" s="49">
        <f t="shared" si="24"/>
        <v>103.85648081540398</v>
      </c>
      <c r="AC34" s="50">
        <f t="shared" si="25"/>
        <v>0.43746494271981734</v>
      </c>
      <c r="AD34" s="55">
        <v>1.7609356406223899</v>
      </c>
      <c r="AE34" s="49">
        <v>2.3403951437442099</v>
      </c>
      <c r="AF34" s="49">
        <f t="shared" si="38"/>
        <v>0.57945950312181993</v>
      </c>
      <c r="AG34" s="50">
        <f t="shared" si="39"/>
        <v>0.32906341932917788</v>
      </c>
      <c r="AH34" s="15">
        <v>1.2485579040000001</v>
      </c>
      <c r="AI34" s="16">
        <v>1.3847937050000001</v>
      </c>
      <c r="AJ34" s="16">
        <f t="shared" si="40"/>
        <v>0.13623580099999999</v>
      </c>
      <c r="AK34" s="17">
        <f t="shared" si="41"/>
        <v>0.10911452369452941</v>
      </c>
      <c r="AL34" s="15">
        <v>15.7100662225</v>
      </c>
      <c r="AM34" s="16">
        <v>17.544449820000001</v>
      </c>
      <c r="AN34" s="16">
        <f t="shared" si="42"/>
        <v>1.8343835975000005</v>
      </c>
      <c r="AO34" s="17">
        <f t="shared" si="43"/>
        <v>0.11676485455375046</v>
      </c>
      <c r="AP34" s="15">
        <v>18.092583757500002</v>
      </c>
      <c r="AQ34" s="16">
        <v>19.052669989999998</v>
      </c>
      <c r="AR34" s="16">
        <f t="shared" si="44"/>
        <v>0.96008623249999658</v>
      </c>
      <c r="AS34" s="17">
        <f t="shared" si="45"/>
        <v>5.3065181035959426E-2</v>
      </c>
      <c r="AT34" s="15">
        <v>18.092583757500002</v>
      </c>
      <c r="AU34" s="16">
        <v>19.052669989999998</v>
      </c>
      <c r="AV34" s="16">
        <f t="shared" si="46"/>
        <v>0.96008623249999658</v>
      </c>
      <c r="AW34" s="17">
        <f t="shared" si="47"/>
        <v>5.3065181035959426E-2</v>
      </c>
    </row>
    <row r="35" spans="1:49" x14ac:dyDescent="0.3">
      <c r="A35" s="1" t="s">
        <v>8</v>
      </c>
      <c r="B35" s="23">
        <v>35</v>
      </c>
      <c r="C35" s="24">
        <v>35</v>
      </c>
      <c r="D35" s="24">
        <f t="shared" si="26"/>
        <v>0</v>
      </c>
      <c r="E35" s="17">
        <f t="shared" si="27"/>
        <v>0</v>
      </c>
      <c r="F35" s="15">
        <v>0.68571428540000001</v>
      </c>
      <c r="G35" s="16">
        <v>0.71428571399999996</v>
      </c>
      <c r="H35" s="16">
        <f t="shared" si="28"/>
        <v>2.8571428599999948E-2</v>
      </c>
      <c r="I35" s="17">
        <f t="shared" si="29"/>
        <v>4.1666666727430482E-2</v>
      </c>
      <c r="J35" s="76">
        <v>24</v>
      </c>
      <c r="K35" s="77">
        <v>25</v>
      </c>
      <c r="L35" s="77">
        <f t="shared" si="30"/>
        <v>1</v>
      </c>
      <c r="M35" s="50">
        <f t="shared" si="31"/>
        <v>4.1666666666666664E-2</v>
      </c>
      <c r="N35" s="251">
        <v>42.09</v>
      </c>
      <c r="O35" s="252">
        <v>40.309916999999999</v>
      </c>
      <c r="P35" s="252">
        <f t="shared" si="32"/>
        <v>-1.7800830000000047</v>
      </c>
      <c r="Q35" s="60">
        <f t="shared" si="33"/>
        <v>-4.2292302209551075E-2</v>
      </c>
      <c r="R35" s="47">
        <v>5.8856622721223051E-2</v>
      </c>
      <c r="S35" s="48">
        <v>2.7420895087100002E-2</v>
      </c>
      <c r="T35" s="49">
        <f t="shared" si="34"/>
        <v>-3.1435727634123049E-2</v>
      </c>
      <c r="U35" s="50">
        <f t="shared" si="35"/>
        <v>-0.53410688858278088</v>
      </c>
      <c r="V35" s="15">
        <v>143.0524437</v>
      </c>
      <c r="W35" s="16">
        <v>147.65947370000001</v>
      </c>
      <c r="X35" s="16">
        <f t="shared" si="36"/>
        <v>4.6070300000000088</v>
      </c>
      <c r="Y35" s="17">
        <f t="shared" si="37"/>
        <v>3.2205182105533012E-2</v>
      </c>
      <c r="Z35" s="55">
        <v>258.45570648180501</v>
      </c>
      <c r="AA35" s="49">
        <v>354.91221603028498</v>
      </c>
      <c r="AB35" s="49">
        <f t="shared" si="24"/>
        <v>96.456509548479971</v>
      </c>
      <c r="AC35" s="50">
        <f t="shared" si="25"/>
        <v>0.37320324964568119</v>
      </c>
      <c r="AD35" s="55">
        <v>1.8067199672785701</v>
      </c>
      <c r="AE35" s="49">
        <v>2.4035858126253098</v>
      </c>
      <c r="AF35" s="49">
        <f t="shared" si="38"/>
        <v>0.5968658453467397</v>
      </c>
      <c r="AG35" s="50">
        <f t="shared" si="39"/>
        <v>0.33035880277882135</v>
      </c>
      <c r="AH35" s="15">
        <v>1.270714385</v>
      </c>
      <c r="AI35" s="16">
        <v>1.396843101</v>
      </c>
      <c r="AJ35" s="16">
        <f t="shared" si="40"/>
        <v>0.12612871599999997</v>
      </c>
      <c r="AK35" s="17">
        <f t="shared" si="41"/>
        <v>9.9258116134413613E-2</v>
      </c>
      <c r="AL35" s="15">
        <v>19.64541681</v>
      </c>
      <c r="AM35" s="16">
        <v>18.819123084000001</v>
      </c>
      <c r="AN35" s="16">
        <f t="shared" si="42"/>
        <v>-0.8262937259999994</v>
      </c>
      <c r="AO35" s="17">
        <f t="shared" si="43"/>
        <v>-4.2060381512465321E-2</v>
      </c>
      <c r="AP35" s="15">
        <v>20.036474510000001</v>
      </c>
      <c r="AQ35" s="16">
        <v>20.864757116</v>
      </c>
      <c r="AR35" s="16">
        <f t="shared" si="44"/>
        <v>0.82828260599999837</v>
      </c>
      <c r="AS35" s="17">
        <f t="shared" si="45"/>
        <v>4.1338739786114118E-2</v>
      </c>
      <c r="AT35" s="15">
        <v>20.036474510000001</v>
      </c>
      <c r="AU35" s="16">
        <v>20.864757116</v>
      </c>
      <c r="AV35" s="16">
        <f t="shared" si="46"/>
        <v>0.82828260599999837</v>
      </c>
      <c r="AW35" s="17">
        <f t="shared" si="47"/>
        <v>4.1338739786114118E-2</v>
      </c>
    </row>
    <row r="36" spans="1:49" x14ac:dyDescent="0.3">
      <c r="A36" s="1" t="s">
        <v>9</v>
      </c>
      <c r="B36" s="23">
        <v>28</v>
      </c>
      <c r="C36" s="24">
        <v>28</v>
      </c>
      <c r="D36" s="24">
        <f t="shared" si="26"/>
        <v>0</v>
      </c>
      <c r="E36" s="17">
        <f t="shared" si="27"/>
        <v>0</v>
      </c>
      <c r="F36" s="15">
        <v>0.67857142825000005</v>
      </c>
      <c r="G36" s="16">
        <v>0.67857142825000005</v>
      </c>
      <c r="H36" s="16">
        <f t="shared" si="28"/>
        <v>0</v>
      </c>
      <c r="I36" s="17">
        <f t="shared" si="29"/>
        <v>0</v>
      </c>
      <c r="J36" s="76">
        <v>19</v>
      </c>
      <c r="K36" s="77">
        <v>19</v>
      </c>
      <c r="L36" s="77">
        <f t="shared" si="30"/>
        <v>0</v>
      </c>
      <c r="M36" s="50">
        <f t="shared" si="31"/>
        <v>0</v>
      </c>
      <c r="N36" s="251">
        <v>43.77</v>
      </c>
      <c r="O36" s="252">
        <v>41.616418060000001</v>
      </c>
      <c r="P36" s="252">
        <f t="shared" si="32"/>
        <v>-2.1535819400000022</v>
      </c>
      <c r="Q36" s="60">
        <f t="shared" si="33"/>
        <v>-4.9202237605666027E-2</v>
      </c>
      <c r="R36" s="47">
        <v>3.2934820909841234E-2</v>
      </c>
      <c r="S36" s="48">
        <v>3.4023088761659999E-2</v>
      </c>
      <c r="T36" s="49">
        <f t="shared" si="34"/>
        <v>1.0882678518187652E-3</v>
      </c>
      <c r="U36" s="50">
        <f t="shared" si="35"/>
        <v>3.3043077865760627E-2</v>
      </c>
      <c r="V36" s="15">
        <v>145.52403770000001</v>
      </c>
      <c r="W36" s="16">
        <v>143.21966409999999</v>
      </c>
      <c r="X36" s="16">
        <f t="shared" si="36"/>
        <v>-2.3043736000000195</v>
      </c>
      <c r="Y36" s="17">
        <f t="shared" si="37"/>
        <v>-1.5835003181745962E-2</v>
      </c>
      <c r="Z36" s="55">
        <v>272.91218960377</v>
      </c>
      <c r="AA36" s="49">
        <v>354.91221603028498</v>
      </c>
      <c r="AB36" s="49">
        <f t="shared" si="24"/>
        <v>82.000026426514978</v>
      </c>
      <c r="AC36" s="50">
        <f t="shared" si="25"/>
        <v>0.30046304104469446</v>
      </c>
      <c r="AD36" s="55">
        <v>1.87537532603515</v>
      </c>
      <c r="AE36" s="49">
        <v>2.4780969728166902</v>
      </c>
      <c r="AF36" s="49">
        <f t="shared" si="38"/>
        <v>0.60272164678154017</v>
      </c>
      <c r="AG36" s="50">
        <f t="shared" si="39"/>
        <v>0.32138721162328199</v>
      </c>
      <c r="AH36" s="15">
        <v>1.278633275</v>
      </c>
      <c r="AI36" s="16">
        <v>1.396843101</v>
      </c>
      <c r="AJ36" s="16">
        <f t="shared" si="40"/>
        <v>0.11820982599999996</v>
      </c>
      <c r="AK36" s="17">
        <f t="shared" si="41"/>
        <v>9.2450140561217573E-2</v>
      </c>
      <c r="AL36" s="15">
        <v>21.259809847500001</v>
      </c>
      <c r="AM36" s="16">
        <v>21.555345792499999</v>
      </c>
      <c r="AN36" s="16">
        <f t="shared" si="42"/>
        <v>0.29553594499999747</v>
      </c>
      <c r="AO36" s="17">
        <f t="shared" si="43"/>
        <v>1.3901156554076628E-2</v>
      </c>
      <c r="AP36" s="15">
        <v>24.820115272500001</v>
      </c>
      <c r="AQ36" s="16">
        <v>25.254081145000001</v>
      </c>
      <c r="AR36" s="16">
        <f t="shared" si="44"/>
        <v>0.43396587249999996</v>
      </c>
      <c r="AS36" s="17">
        <f t="shared" si="45"/>
        <v>1.7484442265295282E-2</v>
      </c>
      <c r="AT36" s="15">
        <v>24.820115272500001</v>
      </c>
      <c r="AU36" s="16">
        <v>25.254081145000001</v>
      </c>
      <c r="AV36" s="16">
        <f t="shared" si="46"/>
        <v>0.43396587249999996</v>
      </c>
      <c r="AW36" s="17">
        <f t="shared" si="47"/>
        <v>1.7484442265295282E-2</v>
      </c>
    </row>
    <row r="37" spans="1:49" x14ac:dyDescent="0.3">
      <c r="A37" s="1" t="s">
        <v>10</v>
      </c>
      <c r="B37" s="23">
        <v>28</v>
      </c>
      <c r="C37" s="24">
        <v>28</v>
      </c>
      <c r="D37" s="24">
        <f t="shared" si="26"/>
        <v>0</v>
      </c>
      <c r="E37" s="80">
        <f t="shared" si="27"/>
        <v>0</v>
      </c>
      <c r="F37" s="15">
        <v>0.64285714250000003</v>
      </c>
      <c r="G37" s="16">
        <v>0.71428571399999996</v>
      </c>
      <c r="H37" s="16">
        <f t="shared" si="28"/>
        <v>7.1428571499999927E-2</v>
      </c>
      <c r="I37" s="80">
        <f t="shared" si="29"/>
        <v>0.1111111112839505</v>
      </c>
      <c r="J37" s="76">
        <v>18</v>
      </c>
      <c r="K37" s="77">
        <v>20</v>
      </c>
      <c r="L37" s="77">
        <f t="shared" si="30"/>
        <v>2</v>
      </c>
      <c r="M37" s="50">
        <f t="shared" si="31"/>
        <v>0.1111111111111111</v>
      </c>
      <c r="N37" s="251">
        <v>41.35</v>
      </c>
      <c r="O37" s="252">
        <v>43.515901569999997</v>
      </c>
      <c r="P37" s="252">
        <f t="shared" si="32"/>
        <v>2.1659015699999955</v>
      </c>
      <c r="Q37" s="81">
        <f t="shared" si="33"/>
        <v>5.2379723579201821E-2</v>
      </c>
      <c r="R37" s="47">
        <v>4.2545373094803107E-2</v>
      </c>
      <c r="S37" s="48">
        <v>3.81651E-2</v>
      </c>
      <c r="T37" s="49">
        <f t="shared" si="34"/>
        <v>-4.3802730948031068E-3</v>
      </c>
      <c r="U37" s="50">
        <f t="shared" si="35"/>
        <v>-0.10295533394530637</v>
      </c>
      <c r="V37" s="15">
        <v>153.4417455</v>
      </c>
      <c r="W37" s="16">
        <v>140.33050660000001</v>
      </c>
      <c r="X37" s="16">
        <f t="shared" si="36"/>
        <v>-13.111238899999989</v>
      </c>
      <c r="Y37" s="80">
        <f t="shared" si="37"/>
        <v>-8.5447665218328667E-2</v>
      </c>
      <c r="Z37" s="55">
        <v>295.81816767909402</v>
      </c>
      <c r="AA37" s="49">
        <v>362.01046035089098</v>
      </c>
      <c r="AB37" s="49">
        <f t="shared" si="24"/>
        <v>66.192292671796963</v>
      </c>
      <c r="AC37" s="50">
        <f t="shared" si="25"/>
        <v>0.22376006582395883</v>
      </c>
      <c r="AD37" s="55">
        <v>1.9278858351641399</v>
      </c>
      <c r="AE37" s="49">
        <v>2.57969894870218</v>
      </c>
      <c r="AF37" s="49">
        <f t="shared" si="38"/>
        <v>0.65181311353804006</v>
      </c>
      <c r="AG37" s="50">
        <f t="shared" si="39"/>
        <v>0.33809736118661032</v>
      </c>
      <c r="AH37" s="15">
        <v>1.320171778</v>
      </c>
      <c r="AI37" s="16">
        <v>1.403013064</v>
      </c>
      <c r="AJ37" s="16">
        <f t="shared" si="40"/>
        <v>8.2841286000000069E-2</v>
      </c>
      <c r="AK37" s="81">
        <f t="shared" si="41"/>
        <v>6.2750383988287375E-2</v>
      </c>
      <c r="AL37" s="15">
        <v>26.971358822500001</v>
      </c>
      <c r="AM37" s="16">
        <v>24.790379897499999</v>
      </c>
      <c r="AN37" s="16">
        <f t="shared" si="42"/>
        <v>-2.1809789250000016</v>
      </c>
      <c r="AO37" s="80">
        <f t="shared" si="43"/>
        <v>-8.0862775188789857E-2</v>
      </c>
      <c r="AP37" s="15">
        <v>27.9213897775</v>
      </c>
      <c r="AQ37" s="16">
        <v>27.185594545000001</v>
      </c>
      <c r="AR37" s="16">
        <f t="shared" si="44"/>
        <v>-0.73579523249999923</v>
      </c>
      <c r="AS37" s="80">
        <f t="shared" si="45"/>
        <v>-2.6352385692954578E-2</v>
      </c>
      <c r="AT37" s="15">
        <v>27.9213897775</v>
      </c>
      <c r="AU37" s="16">
        <v>27.185594545000001</v>
      </c>
      <c r="AV37" s="16">
        <f t="shared" si="46"/>
        <v>-0.73579523249999923</v>
      </c>
      <c r="AW37" s="80">
        <f t="shared" si="47"/>
        <v>-2.6352385692954578E-2</v>
      </c>
    </row>
    <row r="38" spans="1:49" ht="15" thickBot="1" x14ac:dyDescent="0.35">
      <c r="A38" s="4" t="s">
        <v>11</v>
      </c>
      <c r="B38" s="25">
        <v>39</v>
      </c>
      <c r="C38" s="26">
        <v>41</v>
      </c>
      <c r="D38" s="26">
        <f t="shared" si="26"/>
        <v>2</v>
      </c>
      <c r="E38" s="20">
        <f t="shared" si="27"/>
        <v>5.128205128205128E-2</v>
      </c>
      <c r="F38" s="18">
        <v>0.65194805160000002</v>
      </c>
      <c r="G38" s="19">
        <v>0.60879120840000001</v>
      </c>
      <c r="H38" s="19">
        <f t="shared" si="28"/>
        <v>-4.3156843200000017E-2</v>
      </c>
      <c r="I38" s="20">
        <f t="shared" si="29"/>
        <v>-6.6196751557252478E-2</v>
      </c>
      <c r="J38" s="78">
        <v>25</v>
      </c>
      <c r="K38" s="79">
        <v>25</v>
      </c>
      <c r="L38" s="79">
        <f t="shared" si="30"/>
        <v>0</v>
      </c>
      <c r="M38" s="54">
        <f t="shared" si="31"/>
        <v>0</v>
      </c>
      <c r="N38" s="259">
        <v>42.348258999999999</v>
      </c>
      <c r="O38" s="260">
        <v>42.881387320000002</v>
      </c>
      <c r="P38" s="260">
        <f t="shared" si="32"/>
        <v>0.53312832000000299</v>
      </c>
      <c r="Q38" s="43">
        <f t="shared" si="33"/>
        <v>1.258914374732626E-2</v>
      </c>
      <c r="R38" s="51">
        <v>3.7437073551383371E-2</v>
      </c>
      <c r="S38" s="52">
        <v>4.0374610247000002E-2</v>
      </c>
      <c r="T38" s="53">
        <f t="shared" si="34"/>
        <v>2.9375366956166313E-3</v>
      </c>
      <c r="U38" s="54">
        <f t="shared" si="35"/>
        <v>7.846598083006634E-2</v>
      </c>
      <c r="V38" s="18">
        <v>155.27936769999999</v>
      </c>
      <c r="W38" s="19">
        <v>136.28251119999999</v>
      </c>
      <c r="X38" s="19">
        <f t="shared" si="36"/>
        <v>-18.996856500000007</v>
      </c>
      <c r="Y38" s="20">
        <f t="shared" si="37"/>
        <v>-0.12233986254182827</v>
      </c>
      <c r="Z38" s="56">
        <v>303.85130683145297</v>
      </c>
      <c r="AA38" s="53">
        <v>365.63056495439997</v>
      </c>
      <c r="AB38" s="53">
        <f t="shared" si="24"/>
        <v>61.779258122946999</v>
      </c>
      <c r="AC38" s="54">
        <f t="shared" si="25"/>
        <v>0.20332069250311335</v>
      </c>
      <c r="AD38" s="56">
        <v>1.9568041226916</v>
      </c>
      <c r="AE38" s="53">
        <v>2.6828869066502601</v>
      </c>
      <c r="AF38" s="53">
        <f t="shared" si="38"/>
        <v>0.72608278395866011</v>
      </c>
      <c r="AG38" s="54">
        <f t="shared" si="39"/>
        <v>0.37105542427002214</v>
      </c>
      <c r="AH38" s="18">
        <v>1.311125409</v>
      </c>
      <c r="AI38" s="19">
        <v>1.406135524</v>
      </c>
      <c r="AJ38" s="19">
        <f t="shared" si="40"/>
        <v>9.5010115000000006E-2</v>
      </c>
      <c r="AK38" s="43">
        <f t="shared" si="41"/>
        <v>7.2464551710934008E-2</v>
      </c>
      <c r="AL38" s="18">
        <v>28.715715098</v>
      </c>
      <c r="AM38" s="19">
        <v>28.552500196</v>
      </c>
      <c r="AN38" s="19">
        <f t="shared" si="42"/>
        <v>-0.163214902</v>
      </c>
      <c r="AO38" s="20">
        <f t="shared" si="43"/>
        <v>-5.683818126868365E-3</v>
      </c>
      <c r="AP38" s="18">
        <v>30.695088972000001</v>
      </c>
      <c r="AQ38" s="19">
        <v>29.542464282000001</v>
      </c>
      <c r="AR38" s="19">
        <f t="shared" si="44"/>
        <v>-1.1526246899999997</v>
      </c>
      <c r="AS38" s="20">
        <f t="shared" si="45"/>
        <v>-3.7550785112609432E-2</v>
      </c>
      <c r="AT38" s="18">
        <v>30.695088972000001</v>
      </c>
      <c r="AU38" s="19">
        <v>29.542464282000001</v>
      </c>
      <c r="AV38" s="19">
        <f t="shared" si="46"/>
        <v>-1.1526246899999997</v>
      </c>
      <c r="AW38" s="20">
        <f t="shared" si="47"/>
        <v>-3.7550785112609432E-2</v>
      </c>
    </row>
    <row r="39" spans="1:49" ht="15" thickBot="1" x14ac:dyDescent="0.35">
      <c r="A39" s="4" t="s">
        <v>15</v>
      </c>
      <c r="B39" s="25">
        <f>SUM(B27:B38)</f>
        <v>365</v>
      </c>
      <c r="C39" s="26">
        <f>SUM(C27:C38)</f>
        <v>366</v>
      </c>
      <c r="D39" s="26">
        <f>C39-B39</f>
        <v>1</v>
      </c>
      <c r="E39" s="83">
        <f>(C39-B39)/B39</f>
        <v>2.7397260273972603E-3</v>
      </c>
      <c r="F39" s="18">
        <f>(4*SUM(F27:F28,F30:F31,F33:F34,F36:F37)+5*SUM(F29,F32,F35,F38))/52</f>
        <v>0.69524225744230772</v>
      </c>
      <c r="G39" s="19">
        <f>(4*SUM(G27:G28,G30:G31,G33:G34,G36:G37)+5*SUM(G29,G32,G35,G38))/52</f>
        <v>0.66476472211538451</v>
      </c>
      <c r="H39" s="19">
        <f>G39-F39</f>
        <v>-3.0477535326923211E-2</v>
      </c>
      <c r="I39" s="83">
        <f>(G39-F39)/F39</f>
        <v>-4.3837288370596895E-2</v>
      </c>
      <c r="J39" s="78">
        <f>SUM(J27:J38)</f>
        <v>253</v>
      </c>
      <c r="K39" s="79">
        <f>SUM(K27:K38)</f>
        <v>243</v>
      </c>
      <c r="L39" s="79">
        <f t="shared" ref="L39" si="48">K39-J39</f>
        <v>-10</v>
      </c>
      <c r="M39" s="54">
        <f t="shared" ref="M39" si="49">(K39-J39)/J39</f>
        <v>-3.9525691699604744E-2</v>
      </c>
      <c r="N39" s="259">
        <f>(4*SUM(N27:N28,N30:N31,N33:N34,N36:N37)+5*SUM(N29,N32,N35,N38))/52</f>
        <v>39.302140288461537</v>
      </c>
      <c r="O39" s="260">
        <f>(4*SUM(O27:O28,O30:O31,O33:O34,O36:O37)+5*SUM(O29,O32,O35,O38))/52</f>
        <v>40.996605656153847</v>
      </c>
      <c r="P39" s="260">
        <f>O39-N39</f>
        <v>1.6944653676923096</v>
      </c>
      <c r="Q39" s="83">
        <f>(O39-N39)/N39</f>
        <v>4.3113819126786253E-2</v>
      </c>
      <c r="R39" s="51">
        <f>PRODUCT((1+R27),(1+R28),(1+R29),(1+R30),(1+R31),(1+R32),(1+R33),(1+R34),(1+R35),(1+R36),(1+R37),(1+R38))-1</f>
        <v>0.53832402016333858</v>
      </c>
      <c r="S39" s="52">
        <f>PRODUCT((1+S27),(1+S28),(1+S29),(1+S30),(1+S31),(1+S32),(1+S33),(1+S34),(1+S35),(1+S36),(1+S37),(1+S38))-1</f>
        <v>0.36451578844015486</v>
      </c>
      <c r="T39" s="53">
        <f>S39-R39</f>
        <v>-0.17380823172318371</v>
      </c>
      <c r="U39" s="54">
        <f>(S39-R39)/R39</f>
        <v>-0.32286917397898524</v>
      </c>
      <c r="V39" s="18">
        <f>(4*SUM(V27:V28,V30:V31,V33:V34,V36:V37)+5*SUM(V29,V32,V35,V38))/52</f>
        <v>139.10101394999998</v>
      </c>
      <c r="W39" s="19">
        <f>(4*SUM(W27:W28,W30:W31,W33:W34,W36:W37)+5*SUM(W29,W32,W35,W38))/52</f>
        <v>145.33303274423076</v>
      </c>
      <c r="X39" s="19">
        <f>W39-V39</f>
        <v>6.2320187942307825</v>
      </c>
      <c r="Y39" s="83">
        <f>(W39-V39)/V39</f>
        <v>4.4802109037615563E-2</v>
      </c>
      <c r="Z39" s="56">
        <f>(4*SUM(Z27:Z28,Z30:Z31,Z33:Z34,Z36:Z37)+5*SUM(Z29,Z32,Z35,Z38))/52</f>
        <v>235.38695890837249</v>
      </c>
      <c r="AA39" s="53">
        <f>(4*SUM(AA27:AA28,AA30:AA31,AA33:AA34,AA36:AA37)+5*SUM(AA29,AA32,AA35,AA38))/52</f>
        <v>341.53209021119312</v>
      </c>
      <c r="AB39" s="53">
        <f t="shared" ref="AB39" si="50">AA39-Z39</f>
        <v>106.14513130282063</v>
      </c>
      <c r="AC39" s="54">
        <f t="shared" ref="AC39" si="51">(AA39-Z39)/Z39</f>
        <v>0.45093887866633697</v>
      </c>
      <c r="AD39" s="56">
        <f>(4*SUM(AD27:AD28,AD30:AD31,AD33:AD34,AD36:AD37)+5*SUM(AD29,AD32,AD35,AD38))/52</f>
        <v>1.6835675975782005</v>
      </c>
      <c r="AE39" s="53">
        <f>(4*SUM(AE27:AE28,AE30:AE31,AE33:AE34,AE36:AE37)+5*SUM(AE29,AE32,AE35,AE38))/52</f>
        <v>2.3535393355077048</v>
      </c>
      <c r="AF39" s="53">
        <f>AE39-AD39</f>
        <v>0.66997173792950426</v>
      </c>
      <c r="AG39" s="54">
        <f>(AE39-AD39)/AD39</f>
        <v>0.39794763150184981</v>
      </c>
      <c r="AH39" s="18">
        <f>(4*SUM(AH27:AH28,AH30:AH31,AH33:AH34,AH36:AH37)+5*SUM(AH29,AH32,AH35,AH38))/52</f>
        <v>1.2377110485384615</v>
      </c>
      <c r="AI39" s="19">
        <f>(4*SUM(AI27:AI28,AI30:AI31,AI33:AI34,AI36:AI37)+5*SUM(AI29,AI32,AI35,AI38))/52</f>
        <v>1.3633647027692308</v>
      </c>
      <c r="AJ39" s="19">
        <f>AI39-AH39</f>
        <v>0.12565365423076935</v>
      </c>
      <c r="AK39" s="83">
        <f>(AI39-AH39)/AH39</f>
        <v>0.10152099262517386</v>
      </c>
      <c r="AL39" s="18">
        <f>(4*SUM(AL27:AL28,AL30:AL31,AL33:AL34,AL36:AL37)+5*SUM(AL29,AL32,AL35,AL38))/52</f>
        <v>22.897200351923079</v>
      </c>
      <c r="AM39" s="19">
        <f>(4*SUM(AM27:AM28,AM30:AM31,AM33:AM34,AM36:AM37)+5*SUM(AM29,AM32,AM35,AM38))/52</f>
        <v>22.870424944038461</v>
      </c>
      <c r="AN39" s="19">
        <f>AM39-AL39</f>
        <v>-2.6775407884617408E-2</v>
      </c>
      <c r="AO39" s="83">
        <f>(AM39-AL39)/AL39</f>
        <v>-1.1693747477022275E-3</v>
      </c>
      <c r="AP39" s="18">
        <f>(4*SUM(AP27:AP28,AP30:AP31,AP33:AP34,AP36:AP37)+5*SUM(AP29,AP32,AP35,AP38))/52</f>
        <v>24.512333040961536</v>
      </c>
      <c r="AQ39" s="19">
        <f>(4*SUM(AQ27:AQ28,AQ30:AQ31,AQ33:AQ34,AQ36:AQ37)+5*SUM(AQ29,AQ32,AQ35,AQ38))/52</f>
        <v>25.083992860769232</v>
      </c>
      <c r="AR39" s="19">
        <f>AQ39-AP39</f>
        <v>0.57165981980769587</v>
      </c>
      <c r="AS39" s="169">
        <f>(AQ39-AP39)/AP39</f>
        <v>2.3321314166726562E-2</v>
      </c>
      <c r="AT39" s="18">
        <f>(4*SUM(AT27:AT28,AT30:AT31,AT33:AT34,AT36:AT37)+5*SUM(AT29,AT32,AT35,AT38))/52</f>
        <v>24.512333040961536</v>
      </c>
      <c r="AU39" s="19">
        <f>(4*SUM(AU27:AU28,AU30:AU31,AU33:AU34,AU36:AU37)+5*SUM(AU29,AU32,AU35,AU38))/52</f>
        <v>25.083992860769232</v>
      </c>
      <c r="AV39" s="19">
        <f>AU39-AT39</f>
        <v>0.57165981980769587</v>
      </c>
      <c r="AW39" s="169">
        <f>(AU39-AT39)/AT39</f>
        <v>2.3321314166726562E-2</v>
      </c>
    </row>
  </sheetData>
  <mergeCells count="54">
    <mergeCell ref="AT1:AW5"/>
    <mergeCell ref="AT7:AW7"/>
    <mergeCell ref="AT8:AW8"/>
    <mergeCell ref="AT24:AW24"/>
    <mergeCell ref="AT25:AW25"/>
    <mergeCell ref="AP1:AS5"/>
    <mergeCell ref="AP7:AS7"/>
    <mergeCell ref="AP8:AS8"/>
    <mergeCell ref="AP24:AS24"/>
    <mergeCell ref="AP25:AS25"/>
    <mergeCell ref="B7:M7"/>
    <mergeCell ref="V1:Y5"/>
    <mergeCell ref="B1:E5"/>
    <mergeCell ref="F1:I5"/>
    <mergeCell ref="N1:Q5"/>
    <mergeCell ref="R1:U5"/>
    <mergeCell ref="J1:M5"/>
    <mergeCell ref="Z1:AC5"/>
    <mergeCell ref="AD1:AG5"/>
    <mergeCell ref="AH1:AK5"/>
    <mergeCell ref="AL1:AO5"/>
    <mergeCell ref="AH7:AK7"/>
    <mergeCell ref="AL7:AO7"/>
    <mergeCell ref="N7:Q7"/>
    <mergeCell ref="R7:U7"/>
    <mergeCell ref="V7:Y7"/>
    <mergeCell ref="Z7:AG7"/>
    <mergeCell ref="AD8:AG8"/>
    <mergeCell ref="N8:Q8"/>
    <mergeCell ref="R8:U8"/>
    <mergeCell ref="V8:Y8"/>
    <mergeCell ref="J8:M8"/>
    <mergeCell ref="B24:M24"/>
    <mergeCell ref="AD25:AG25"/>
    <mergeCell ref="AH25:AK25"/>
    <mergeCell ref="B25:E25"/>
    <mergeCell ref="F25:I25"/>
    <mergeCell ref="J25:M25"/>
    <mergeCell ref="Z8:AC8"/>
    <mergeCell ref="B8:E8"/>
    <mergeCell ref="F8:I8"/>
    <mergeCell ref="AL25:AO25"/>
    <mergeCell ref="AL8:AO8"/>
    <mergeCell ref="N24:Q24"/>
    <mergeCell ref="R24:U24"/>
    <mergeCell ref="V24:Y24"/>
    <mergeCell ref="Z24:AG24"/>
    <mergeCell ref="AH24:AK24"/>
    <mergeCell ref="AL24:AO24"/>
    <mergeCell ref="N25:Q25"/>
    <mergeCell ref="R25:U25"/>
    <mergeCell ref="V25:Y25"/>
    <mergeCell ref="Z25:AC25"/>
    <mergeCell ref="AH8:AK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M38"/>
  <sheetViews>
    <sheetView showGridLines="0" zoomScale="80" zoomScaleNormal="80" workbookViewId="0">
      <pane xSplit="1" topLeftCell="B1" activePane="topRight" state="frozen"/>
      <selection pane="topRight" activeCell="C23" sqref="C23:H23"/>
    </sheetView>
  </sheetViews>
  <sheetFormatPr baseColWidth="10" defaultColWidth="24.44140625" defaultRowHeight="14.4" outlineLevelRow="1" x14ac:dyDescent="0.3"/>
  <cols>
    <col min="1" max="1" width="12.44140625" bestFit="1" customWidth="1"/>
    <col min="2" max="2" width="15.88671875" bestFit="1" customWidth="1"/>
    <col min="3" max="3" width="12.6640625" bestFit="1" customWidth="1"/>
    <col min="4" max="4" width="13" bestFit="1" customWidth="1"/>
    <col min="5" max="5" width="15.6640625" bestFit="1" customWidth="1"/>
    <col min="6" max="6" width="20.88671875" bestFit="1" customWidth="1"/>
    <col min="7" max="7" width="12.109375" bestFit="1" customWidth="1"/>
    <col min="8" max="8" width="12.109375" style="250" customWidth="1"/>
    <col min="9" max="9" width="13.109375" bestFit="1" customWidth="1"/>
    <col min="10" max="10" width="16.33203125" bestFit="1" customWidth="1"/>
    <col min="11" max="11" width="17" customWidth="1"/>
    <col min="12" max="12" width="14" customWidth="1"/>
    <col min="13" max="13" width="109.6640625" style="27" customWidth="1"/>
  </cols>
  <sheetData>
    <row r="1" spans="1:13" ht="25.8" x14ac:dyDescent="0.5">
      <c r="B1" s="305" t="s">
        <v>44</v>
      </c>
      <c r="C1" s="305"/>
      <c r="D1" s="305"/>
      <c r="E1" s="305"/>
      <c r="F1" s="305"/>
      <c r="G1" s="305"/>
      <c r="H1" s="305"/>
      <c r="I1" s="305"/>
      <c r="J1" s="305"/>
    </row>
    <row r="2" spans="1:13" x14ac:dyDescent="0.3">
      <c r="A2" s="306" t="str">
        <f>'Andina DT'!A2:J2</f>
        <v>w47</v>
      </c>
      <c r="B2" s="306"/>
      <c r="C2" s="306"/>
      <c r="D2" s="306"/>
      <c r="E2" s="306"/>
      <c r="F2" s="306"/>
      <c r="G2" s="306"/>
      <c r="H2" s="306"/>
      <c r="I2" s="306"/>
      <c r="J2" s="306"/>
    </row>
    <row r="3" spans="1:13" ht="28.8" x14ac:dyDescent="0.3">
      <c r="A3" s="5" t="s">
        <v>34</v>
      </c>
      <c r="B3" s="5" t="s">
        <v>26</v>
      </c>
      <c r="C3" s="40" t="s">
        <v>21</v>
      </c>
      <c r="D3" s="40" t="s">
        <v>22</v>
      </c>
      <c r="E3" s="40" t="s">
        <v>23</v>
      </c>
      <c r="F3" s="40" t="s">
        <v>24</v>
      </c>
      <c r="G3" s="40" t="s">
        <v>25</v>
      </c>
      <c r="H3" s="40" t="s">
        <v>61</v>
      </c>
      <c r="I3" s="5" t="s">
        <v>62</v>
      </c>
      <c r="J3" s="5" t="s">
        <v>65</v>
      </c>
      <c r="K3" s="5" t="s">
        <v>66</v>
      </c>
      <c r="M3" s="130" t="str">
        <f>"Comentarios "&amp;A2</f>
        <v>Comentarios w47</v>
      </c>
    </row>
    <row r="4" spans="1:13" x14ac:dyDescent="0.3">
      <c r="A4" s="6" t="s">
        <v>0</v>
      </c>
      <c r="B4" s="7">
        <v>9773974.9966033697</v>
      </c>
      <c r="C4" s="7">
        <v>-218063.81683725299</v>
      </c>
      <c r="D4" s="7">
        <v>25802.656991426102</v>
      </c>
      <c r="E4" s="7">
        <v>-696351.94315666705</v>
      </c>
      <c r="F4" s="7">
        <v>-130004.70292571301</v>
      </c>
      <c r="G4" s="7">
        <v>43300.583731000901</v>
      </c>
      <c r="H4" s="7">
        <v>1</v>
      </c>
      <c r="I4" s="7">
        <v>1460233.33710979</v>
      </c>
      <c r="J4" s="7">
        <f t="shared" ref="J4:J15" si="0">SUM(B4:I4)</f>
        <v>10258892.111515952</v>
      </c>
      <c r="K4" s="123">
        <f t="shared" ref="K4:K16" si="1">J4/B4-1</f>
        <v>4.9613091406628396E-2</v>
      </c>
      <c r="L4" s="89"/>
      <c r="M4" s="112"/>
    </row>
    <row r="5" spans="1:13" x14ac:dyDescent="0.3">
      <c r="A5" s="6" t="s">
        <v>1</v>
      </c>
      <c r="B5" s="7">
        <v>12160519.653926499</v>
      </c>
      <c r="C5" s="7">
        <v>270605.32616249</v>
      </c>
      <c r="D5" s="7">
        <v>32308.009452688901</v>
      </c>
      <c r="E5" s="7">
        <v>-1197327.90257382</v>
      </c>
      <c r="F5" s="7">
        <v>-265448.74729367299</v>
      </c>
      <c r="G5" s="7">
        <v>-41317.996989446001</v>
      </c>
      <c r="H5" s="7">
        <v>1</v>
      </c>
      <c r="I5" s="7">
        <v>1833855.0308662001</v>
      </c>
      <c r="J5" s="7">
        <f t="shared" si="0"/>
        <v>12793194.373550938</v>
      </c>
      <c r="K5" s="124">
        <f t="shared" si="1"/>
        <v>5.202694766585525E-2</v>
      </c>
      <c r="L5" s="89"/>
      <c r="M5" s="317"/>
    </row>
    <row r="6" spans="1:13" ht="15" customHeight="1" x14ac:dyDescent="0.3">
      <c r="A6" s="6" t="s">
        <v>2</v>
      </c>
      <c r="B6" s="7">
        <v>14926735.9517131</v>
      </c>
      <c r="C6" s="7">
        <v>-107394.934972306</v>
      </c>
      <c r="D6" s="7">
        <v>37020.207521593402</v>
      </c>
      <c r="E6" s="7">
        <v>-845865.7636224</v>
      </c>
      <c r="F6" s="7">
        <v>-179007.94332534299</v>
      </c>
      <c r="G6" s="7">
        <v>876782.60729250102</v>
      </c>
      <c r="H6" s="7">
        <v>1</v>
      </c>
      <c r="I6" s="7">
        <v>-1098230.89497553</v>
      </c>
      <c r="J6" s="7">
        <f t="shared" si="0"/>
        <v>13610040.229631616</v>
      </c>
      <c r="K6" s="124">
        <f t="shared" si="1"/>
        <v>-8.8210558982278475E-2</v>
      </c>
      <c r="L6" s="89"/>
      <c r="M6" s="317"/>
    </row>
    <row r="7" spans="1:13" ht="15.9" customHeight="1" x14ac:dyDescent="0.3">
      <c r="A7" s="6" t="s">
        <v>3</v>
      </c>
      <c r="B7" s="7">
        <v>10807293.5605081</v>
      </c>
      <c r="C7" s="7">
        <v>22540.811543854001</v>
      </c>
      <c r="D7" s="100">
        <v>-1126608.3410012301</v>
      </c>
      <c r="E7" s="7">
        <v>-445052.33220919198</v>
      </c>
      <c r="F7" s="7">
        <v>-60927.547529936797</v>
      </c>
      <c r="G7" s="7">
        <v>-213649.58728810301</v>
      </c>
      <c r="H7" s="7">
        <v>1</v>
      </c>
      <c r="I7" s="7">
        <v>240847.11569633923</v>
      </c>
      <c r="J7" s="7">
        <f t="shared" si="0"/>
        <v>9224444.6797198318</v>
      </c>
      <c r="K7" s="124">
        <f t="shared" si="1"/>
        <v>-0.14646117197855146</v>
      </c>
      <c r="L7" s="182"/>
      <c r="M7" s="317"/>
    </row>
    <row r="8" spans="1:13" x14ac:dyDescent="0.3">
      <c r="A8" s="6" t="s">
        <v>4</v>
      </c>
      <c r="B8" s="7">
        <v>9908279.5704853106</v>
      </c>
      <c r="C8" s="7">
        <v>93356.177426025999</v>
      </c>
      <c r="D8" s="100">
        <v>-1063235.15375671</v>
      </c>
      <c r="E8" s="7">
        <v>-420042.73167471198</v>
      </c>
      <c r="F8" s="7">
        <v>-116356.429871934</v>
      </c>
      <c r="G8" s="7">
        <v>417404.02716578601</v>
      </c>
      <c r="H8" s="7">
        <v>1</v>
      </c>
      <c r="I8" s="7">
        <v>184925.32284890162</v>
      </c>
      <c r="J8" s="7">
        <f t="shared" si="0"/>
        <v>9004331.782622667</v>
      </c>
      <c r="K8" s="124">
        <f t="shared" si="1"/>
        <v>-9.1231558559905279E-2</v>
      </c>
      <c r="L8" s="182"/>
      <c r="M8" s="317"/>
    </row>
    <row r="9" spans="1:13" ht="15" customHeight="1" x14ac:dyDescent="0.3">
      <c r="A9" s="6" t="s">
        <v>5</v>
      </c>
      <c r="B9" s="7">
        <v>12961196.9179618</v>
      </c>
      <c r="C9" s="7">
        <v>-1107293.1435772199</v>
      </c>
      <c r="D9" s="100">
        <v>-1255782.8999143599</v>
      </c>
      <c r="E9" s="7">
        <v>-171951.22829128499</v>
      </c>
      <c r="F9" s="7">
        <v>-29836.9811550009</v>
      </c>
      <c r="G9" s="7">
        <v>-355199.17463758501</v>
      </c>
      <c r="H9" s="7">
        <v>1</v>
      </c>
      <c r="I9" s="7">
        <v>30030.870615088603</v>
      </c>
      <c r="J9" s="7">
        <f t="shared" si="0"/>
        <v>10071165.361001439</v>
      </c>
      <c r="K9" s="124">
        <f t="shared" si="1"/>
        <v>-0.22297566924203704</v>
      </c>
      <c r="L9" s="182"/>
      <c r="M9" s="112"/>
    </row>
    <row r="10" spans="1:13" s="3" customFormat="1" ht="15" customHeight="1" x14ac:dyDescent="0.3">
      <c r="A10" s="108" t="s">
        <v>6</v>
      </c>
      <c r="B10" s="100">
        <v>9941340.7516020406</v>
      </c>
      <c r="C10" s="100">
        <v>-244797.77407252</v>
      </c>
      <c r="D10" s="100">
        <v>-443296.37259770097</v>
      </c>
      <c r="E10" s="100">
        <v>-320299.14118333597</v>
      </c>
      <c r="F10" s="100">
        <v>-88731.215651299499</v>
      </c>
      <c r="G10" s="100">
        <v>436272.79912656202</v>
      </c>
      <c r="H10" s="7">
        <v>1</v>
      </c>
      <c r="I10" s="100">
        <v>113781.15922805639</v>
      </c>
      <c r="J10" s="100">
        <f t="shared" si="0"/>
        <v>9394271.2064518016</v>
      </c>
      <c r="K10" s="124">
        <f t="shared" si="1"/>
        <v>-5.5029754921344876E-2</v>
      </c>
      <c r="L10" s="182"/>
      <c r="M10" s="322"/>
    </row>
    <row r="11" spans="1:13" s="3" customFormat="1" x14ac:dyDescent="0.3">
      <c r="A11" s="108" t="s">
        <v>7</v>
      </c>
      <c r="B11" s="100">
        <v>10281581.360121001</v>
      </c>
      <c r="C11" s="100">
        <v>123978.166278538</v>
      </c>
      <c r="D11" s="100">
        <v>-468913.60954950203</v>
      </c>
      <c r="E11" s="100">
        <v>-95177.612690672599</v>
      </c>
      <c r="F11" s="100">
        <v>23007.907881447602</v>
      </c>
      <c r="G11" s="100">
        <v>128473.556265732</v>
      </c>
      <c r="H11" s="7">
        <v>1</v>
      </c>
      <c r="I11" s="100">
        <v>-797736.50811031752</v>
      </c>
      <c r="J11" s="100">
        <f t="shared" si="0"/>
        <v>9195214.2601962257</v>
      </c>
      <c r="K11" s="124">
        <f t="shared" si="1"/>
        <v>-0.10566147967650663</v>
      </c>
      <c r="L11" s="182"/>
      <c r="M11" s="322"/>
    </row>
    <row r="12" spans="1:13" s="3" customFormat="1" x14ac:dyDescent="0.3">
      <c r="A12" s="108" t="s">
        <v>8</v>
      </c>
      <c r="B12" s="100">
        <v>15337742.019602301</v>
      </c>
      <c r="C12" s="100">
        <v>0</v>
      </c>
      <c r="D12" s="100">
        <v>-682932.51481517102</v>
      </c>
      <c r="E12" s="100">
        <v>26256.865466502401</v>
      </c>
      <c r="F12" s="100">
        <v>114754.06920493201</v>
      </c>
      <c r="G12" s="100">
        <v>-151362.85802416399</v>
      </c>
      <c r="H12" s="7">
        <v>1</v>
      </c>
      <c r="I12" s="100">
        <v>37354.009752680919</v>
      </c>
      <c r="J12" s="100">
        <f t="shared" si="0"/>
        <v>14681812.591187082</v>
      </c>
      <c r="K12" s="124">
        <f t="shared" si="1"/>
        <v>-4.276571007498442E-2</v>
      </c>
      <c r="L12" s="182"/>
      <c r="M12" s="165"/>
    </row>
    <row r="13" spans="1:13" x14ac:dyDescent="0.3">
      <c r="A13" s="6" t="s">
        <v>9</v>
      </c>
      <c r="B13" s="7">
        <v>11132775.142554101</v>
      </c>
      <c r="C13" s="7">
        <v>0</v>
      </c>
      <c r="D13" s="7">
        <v>-293306.45197640202</v>
      </c>
      <c r="E13" s="7">
        <v>-134537.95972047301</v>
      </c>
      <c r="F13" s="7">
        <v>157646.55199566201</v>
      </c>
      <c r="G13" s="100">
        <v>2090451.3108391301</v>
      </c>
      <c r="H13" s="7">
        <v>1</v>
      </c>
      <c r="I13" s="7">
        <v>408111.01240000001</v>
      </c>
      <c r="J13" s="7">
        <f t="shared" si="0"/>
        <v>13361140.606092015</v>
      </c>
      <c r="K13" s="124">
        <f t="shared" si="1"/>
        <v>0.20016262207795554</v>
      </c>
      <c r="L13" s="182"/>
      <c r="M13" s="116"/>
    </row>
    <row r="14" spans="1:13" x14ac:dyDescent="0.3">
      <c r="A14" s="6" t="s">
        <v>10</v>
      </c>
      <c r="B14" s="7">
        <v>10461893.293177901</v>
      </c>
      <c r="C14" s="7">
        <v>7115.8494760749199</v>
      </c>
      <c r="D14" s="7">
        <v>-267736.00313304103</v>
      </c>
      <c r="E14" s="7">
        <v>-280426.79648749903</v>
      </c>
      <c r="F14" s="7">
        <v>-32107.709367758802</v>
      </c>
      <c r="G14" s="7">
        <v>-157404.26518536301</v>
      </c>
      <c r="H14" s="7">
        <v>1</v>
      </c>
      <c r="I14" s="7">
        <v>830854.92200000002</v>
      </c>
      <c r="J14" s="7">
        <f t="shared" si="0"/>
        <v>10562190.290480312</v>
      </c>
      <c r="K14" s="124">
        <f t="shared" si="1"/>
        <v>9.5868878119615974E-3</v>
      </c>
      <c r="L14" s="182"/>
      <c r="M14" s="116"/>
    </row>
    <row r="15" spans="1:13" x14ac:dyDescent="0.3">
      <c r="A15" s="6" t="s">
        <v>11</v>
      </c>
      <c r="B15" s="7">
        <v>23022520.014641002</v>
      </c>
      <c r="C15" s="7">
        <v>4951292.5419552196</v>
      </c>
      <c r="D15" s="7">
        <v>-571745.96155199199</v>
      </c>
      <c r="E15" s="7">
        <v>-395135.38405206997</v>
      </c>
      <c r="F15" s="7">
        <v>-341832.96106497798</v>
      </c>
      <c r="G15" s="7">
        <v>969731.31987602799</v>
      </c>
      <c r="H15" s="7">
        <v>1</v>
      </c>
      <c r="I15" s="7">
        <v>-2934017.216</v>
      </c>
      <c r="J15" s="7">
        <f t="shared" si="0"/>
        <v>24700813.353803203</v>
      </c>
      <c r="K15" s="124">
        <f t="shared" si="1"/>
        <v>7.2897899017783541E-2</v>
      </c>
      <c r="L15" s="182"/>
      <c r="M15" s="141"/>
    </row>
    <row r="16" spans="1:13" x14ac:dyDescent="0.3">
      <c r="A16" s="8" t="s">
        <v>27</v>
      </c>
      <c r="B16" s="9">
        <f t="shared" ref="B16:J16" si="2">SUM(B4:B15)</f>
        <v>150715853.23289651</v>
      </c>
      <c r="C16" s="11">
        <f t="shared" si="2"/>
        <v>3791339.2033829037</v>
      </c>
      <c r="D16" s="11">
        <f t="shared" si="2"/>
        <v>-6078426.4343304001</v>
      </c>
      <c r="E16" s="11">
        <f t="shared" si="2"/>
        <v>-4975911.930195624</v>
      </c>
      <c r="F16" s="11">
        <f t="shared" si="2"/>
        <v>-948845.70910359523</v>
      </c>
      <c r="G16" s="11">
        <f t="shared" si="2"/>
        <v>4043482.3221720792</v>
      </c>
      <c r="H16" s="11">
        <f t="shared" si="2"/>
        <v>12</v>
      </c>
      <c r="I16" s="11">
        <f t="shared" si="2"/>
        <v>310008.16143120918</v>
      </c>
      <c r="J16" s="11">
        <f t="shared" si="2"/>
        <v>146857510.8462531</v>
      </c>
      <c r="K16" s="145">
        <f t="shared" si="1"/>
        <v>-2.5600109768686652E-2</v>
      </c>
      <c r="L16" s="91"/>
      <c r="M16" s="117"/>
    </row>
    <row r="17" spans="1:13" x14ac:dyDescent="0.3">
      <c r="I17" s="89"/>
      <c r="J17" s="90"/>
      <c r="K17" s="126"/>
      <c r="L17" s="90"/>
      <c r="M17" s="105"/>
    </row>
    <row r="18" spans="1:13" ht="28.8" outlineLevel="1" x14ac:dyDescent="0.3">
      <c r="A18" s="86"/>
      <c r="B18" s="86"/>
      <c r="C18" s="86" t="s">
        <v>21</v>
      </c>
      <c r="D18" s="86" t="s">
        <v>22</v>
      </c>
      <c r="E18" s="86" t="s">
        <v>23</v>
      </c>
      <c r="F18" s="86" t="s">
        <v>24</v>
      </c>
      <c r="G18" s="86" t="s">
        <v>25</v>
      </c>
      <c r="H18" s="86" t="s">
        <v>61</v>
      </c>
      <c r="I18" s="86" t="s">
        <v>62</v>
      </c>
      <c r="J18" s="86" t="s">
        <v>65</v>
      </c>
      <c r="K18" s="110"/>
      <c r="L18" s="90"/>
    </row>
    <row r="19" spans="1:13" outlineLevel="1" x14ac:dyDescent="0.3">
      <c r="A19" s="307" t="str">
        <f>"Dif. FY " &amp; A2 &amp; " vs " &amp; A22</f>
        <v>Dif. FY w47 vs w43</v>
      </c>
      <c r="B19" s="308"/>
      <c r="C19" s="87">
        <f t="shared" ref="C19:J19" si="3">C16-C36</f>
        <v>4175.947739101015</v>
      </c>
      <c r="D19" s="87">
        <f t="shared" si="3"/>
        <v>-6709.3662850763649</v>
      </c>
      <c r="E19" s="87">
        <f t="shared" si="3"/>
        <v>-5196.603903979063</v>
      </c>
      <c r="F19" s="87">
        <f t="shared" si="3"/>
        <v>-4043.6161822540453</v>
      </c>
      <c r="G19" s="87">
        <f t="shared" si="3"/>
        <v>547630.86213270808</v>
      </c>
      <c r="H19" s="87">
        <f t="shared" ref="H19" si="4">H16-H36</f>
        <v>0</v>
      </c>
      <c r="I19" s="87">
        <f t="shared" si="3"/>
        <v>-37805.153787923511</v>
      </c>
      <c r="J19" s="87">
        <f t="shared" si="3"/>
        <v>498052.06971257925</v>
      </c>
      <c r="K19" s="127"/>
      <c r="L19" s="90"/>
    </row>
    <row r="20" spans="1:13" outlineLevel="1" x14ac:dyDescent="0.3">
      <c r="A20" s="139" t="str">
        <f>"Var. FY " &amp; A2 &amp; " vs " &amp; A22</f>
        <v>Var. FY w47 vs w43</v>
      </c>
      <c r="B20" s="104"/>
      <c r="C20" s="121">
        <f>(C16-C36)/ABS(C36)</f>
        <v>1.1026584958749343E-3</v>
      </c>
      <c r="D20" s="121">
        <f t="shared" ref="D20:J20" si="5">(D16-D36)/ABS(D36)</f>
        <v>-1.1050195866976259E-3</v>
      </c>
      <c r="E20" s="121">
        <f t="shared" si="5"/>
        <v>-1.045443877361599E-3</v>
      </c>
      <c r="F20" s="121">
        <f t="shared" si="5"/>
        <v>-4.2798552337570805E-3</v>
      </c>
      <c r="G20" s="121">
        <f t="shared" si="5"/>
        <v>0.15665163934812623</v>
      </c>
      <c r="H20" s="121">
        <f t="shared" ref="H20" si="6">(H16-H36)/ABS(H36)</f>
        <v>0</v>
      </c>
      <c r="I20" s="121">
        <f t="shared" si="5"/>
        <v>-0.10869380824050726</v>
      </c>
      <c r="J20" s="121">
        <f t="shared" si="5"/>
        <v>3.402937356259276E-3</v>
      </c>
      <c r="K20" s="127"/>
      <c r="L20" s="90"/>
    </row>
    <row r="21" spans="1:13" outlineLevel="1" x14ac:dyDescent="0.3">
      <c r="A21" s="133"/>
      <c r="B21" s="133"/>
      <c r="C21" s="89"/>
      <c r="D21" s="89"/>
      <c r="E21" s="89"/>
      <c r="F21" s="89"/>
      <c r="G21" s="89"/>
      <c r="H21" s="89"/>
      <c r="I21" s="89"/>
      <c r="J21" s="135"/>
      <c r="K21" s="127"/>
      <c r="L21" s="90"/>
    </row>
    <row r="22" spans="1:13" x14ac:dyDescent="0.3">
      <c r="A22" s="306" t="str">
        <f>'Andina DT'!A22:J22</f>
        <v>w43</v>
      </c>
      <c r="B22" s="306"/>
      <c r="C22" s="306"/>
      <c r="D22" s="306"/>
      <c r="E22" s="306"/>
      <c r="F22" s="306"/>
      <c r="G22" s="306"/>
      <c r="H22" s="306"/>
      <c r="I22" s="306"/>
      <c r="J22" s="306"/>
      <c r="K22" s="110"/>
      <c r="L22" s="171"/>
    </row>
    <row r="23" spans="1:13" ht="28.8" x14ac:dyDescent="0.3">
      <c r="A23" s="5" t="s">
        <v>34</v>
      </c>
      <c r="B23" s="5" t="s">
        <v>26</v>
      </c>
      <c r="C23" s="40" t="s">
        <v>21</v>
      </c>
      <c r="D23" s="40" t="s">
        <v>22</v>
      </c>
      <c r="E23" s="40" t="s">
        <v>23</v>
      </c>
      <c r="F23" s="40" t="s">
        <v>24</v>
      </c>
      <c r="G23" s="40" t="s">
        <v>25</v>
      </c>
      <c r="H23" s="40" t="s">
        <v>61</v>
      </c>
      <c r="I23" s="5" t="s">
        <v>62</v>
      </c>
      <c r="J23" s="5" t="s">
        <v>65</v>
      </c>
      <c r="K23" s="5" t="s">
        <v>66</v>
      </c>
      <c r="L23" s="171"/>
      <c r="M23" s="130" t="str">
        <f>"Comentarios "&amp;A22</f>
        <v>Comentarios w43</v>
      </c>
    </row>
    <row r="24" spans="1:13" x14ac:dyDescent="0.3">
      <c r="A24" s="6" t="s">
        <v>0</v>
      </c>
      <c r="B24" s="7">
        <v>9773974.9966033697</v>
      </c>
      <c r="C24" s="7">
        <v>-218063.81683725299</v>
      </c>
      <c r="D24" s="7">
        <v>25802.656991426102</v>
      </c>
      <c r="E24" s="7">
        <v>-696351.94315666705</v>
      </c>
      <c r="F24" s="7">
        <v>-130004.70292571301</v>
      </c>
      <c r="G24" s="7">
        <v>43300.583731000901</v>
      </c>
      <c r="H24" s="7">
        <v>1</v>
      </c>
      <c r="I24" s="7">
        <v>1460233.33710979</v>
      </c>
      <c r="J24" s="7">
        <f t="shared" ref="J24:J35" si="7">SUM(B24:I24)</f>
        <v>10258892.111515952</v>
      </c>
      <c r="K24" s="123">
        <f t="shared" ref="K24:K36" si="8">J24/B24-1</f>
        <v>4.9613091406628396E-2</v>
      </c>
      <c r="L24" s="171"/>
      <c r="M24" s="249"/>
    </row>
    <row r="25" spans="1:13" x14ac:dyDescent="0.3">
      <c r="A25" s="6" t="s">
        <v>1</v>
      </c>
      <c r="B25" s="7">
        <v>12160519.653926499</v>
      </c>
      <c r="C25" s="7">
        <v>270605.32616249</v>
      </c>
      <c r="D25" s="7">
        <v>32308.009452688901</v>
      </c>
      <c r="E25" s="7">
        <v>-1197327.90257382</v>
      </c>
      <c r="F25" s="7">
        <v>-265448.74729367299</v>
      </c>
      <c r="G25" s="7">
        <v>-41317.996989446001</v>
      </c>
      <c r="H25" s="7">
        <v>1</v>
      </c>
      <c r="I25" s="7">
        <v>1833855.0308662001</v>
      </c>
      <c r="J25" s="7">
        <f t="shared" si="7"/>
        <v>12793194.373550938</v>
      </c>
      <c r="K25" s="124">
        <f t="shared" si="8"/>
        <v>5.202694766585525E-2</v>
      </c>
      <c r="L25" s="89"/>
      <c r="M25" s="249"/>
    </row>
    <row r="26" spans="1:13" x14ac:dyDescent="0.3">
      <c r="A26" s="6" t="s">
        <v>2</v>
      </c>
      <c r="B26" s="7">
        <v>14926735.9517131</v>
      </c>
      <c r="C26" s="7">
        <v>-107394.934972306</v>
      </c>
      <c r="D26" s="7">
        <v>37020.207521593402</v>
      </c>
      <c r="E26" s="7">
        <v>-845865.7636224</v>
      </c>
      <c r="F26" s="7">
        <v>-179007.94332534299</v>
      </c>
      <c r="G26" s="7">
        <v>876782.60729250102</v>
      </c>
      <c r="H26" s="7">
        <v>1</v>
      </c>
      <c r="I26" s="7">
        <v>-1098230.89497553</v>
      </c>
      <c r="J26" s="7">
        <f t="shared" si="7"/>
        <v>13610040.229631616</v>
      </c>
      <c r="K26" s="124">
        <f t="shared" si="8"/>
        <v>-8.8210558982278475E-2</v>
      </c>
      <c r="L26" s="89"/>
      <c r="M26" s="249"/>
    </row>
    <row r="27" spans="1:13" x14ac:dyDescent="0.3">
      <c r="A27" s="6" t="s">
        <v>3</v>
      </c>
      <c r="B27" s="7">
        <v>10807293.5605081</v>
      </c>
      <c r="C27" s="7">
        <v>22540.811543854001</v>
      </c>
      <c r="D27" s="100">
        <v>-1126608.3410012301</v>
      </c>
      <c r="E27" s="7">
        <v>-445052.33220919198</v>
      </c>
      <c r="F27" s="7">
        <v>-60927.547529936797</v>
      </c>
      <c r="G27" s="7">
        <v>-213649.58728810301</v>
      </c>
      <c r="H27" s="7">
        <v>1</v>
      </c>
      <c r="I27" s="7">
        <v>240847.11569633923</v>
      </c>
      <c r="J27" s="7">
        <f t="shared" si="7"/>
        <v>9224444.6797198318</v>
      </c>
      <c r="K27" s="124">
        <f t="shared" si="8"/>
        <v>-0.14646117197855146</v>
      </c>
      <c r="L27" s="89"/>
      <c r="M27" s="249"/>
    </row>
    <row r="28" spans="1:13" x14ac:dyDescent="0.3">
      <c r="A28" s="6" t="s">
        <v>4</v>
      </c>
      <c r="B28" s="7">
        <v>9908279.5704853106</v>
      </c>
      <c r="C28" s="7">
        <v>93356.177426025999</v>
      </c>
      <c r="D28" s="100">
        <v>-1063235.15375671</v>
      </c>
      <c r="E28" s="7">
        <v>-420042.73167471198</v>
      </c>
      <c r="F28" s="7">
        <v>-116356.429871934</v>
      </c>
      <c r="G28" s="7">
        <v>417404.02716578601</v>
      </c>
      <c r="H28" s="7">
        <v>1</v>
      </c>
      <c r="I28" s="7">
        <v>184925.32284890162</v>
      </c>
      <c r="J28" s="7">
        <f t="shared" si="7"/>
        <v>9004331.782622667</v>
      </c>
      <c r="K28" s="124">
        <f t="shared" si="8"/>
        <v>-9.1231558559905279E-2</v>
      </c>
      <c r="L28" s="89"/>
      <c r="M28" s="249"/>
    </row>
    <row r="29" spans="1:13" x14ac:dyDescent="0.3">
      <c r="A29" s="6" t="s">
        <v>5</v>
      </c>
      <c r="B29" s="7">
        <v>12961196.9179618</v>
      </c>
      <c r="C29" s="7">
        <v>-1107293.1435772199</v>
      </c>
      <c r="D29" s="100">
        <v>-1255782.8999143599</v>
      </c>
      <c r="E29" s="7">
        <v>-171951.22829128499</v>
      </c>
      <c r="F29" s="7">
        <v>-29836.9811550009</v>
      </c>
      <c r="G29" s="7">
        <v>-355199.17463758501</v>
      </c>
      <c r="H29" s="7">
        <v>1</v>
      </c>
      <c r="I29" s="7">
        <v>30030.870615088603</v>
      </c>
      <c r="J29" s="7">
        <f t="shared" si="7"/>
        <v>10071165.361001439</v>
      </c>
      <c r="K29" s="124">
        <f t="shared" si="8"/>
        <v>-0.22297566924203704</v>
      </c>
      <c r="L29" s="89"/>
      <c r="M29" s="249"/>
    </row>
    <row r="30" spans="1:13" x14ac:dyDescent="0.3">
      <c r="A30" s="6" t="s">
        <v>6</v>
      </c>
      <c r="B30" s="7">
        <v>9941340.7516020406</v>
      </c>
      <c r="C30" s="7">
        <v>-244797.77407252</v>
      </c>
      <c r="D30" s="100">
        <v>-443296.37259770097</v>
      </c>
      <c r="E30" s="7">
        <v>-320299.14118333597</v>
      </c>
      <c r="F30" s="7">
        <v>-88731.215651299499</v>
      </c>
      <c r="G30" s="7">
        <v>436272.79912656202</v>
      </c>
      <c r="H30" s="7">
        <v>1</v>
      </c>
      <c r="I30" s="7">
        <v>113781.15922805639</v>
      </c>
      <c r="J30" s="7">
        <f t="shared" si="7"/>
        <v>9394271.2064518016</v>
      </c>
      <c r="K30" s="124">
        <f t="shared" si="8"/>
        <v>-5.5029754921344876E-2</v>
      </c>
      <c r="L30" s="89"/>
      <c r="M30" s="249"/>
    </row>
    <row r="31" spans="1:13" x14ac:dyDescent="0.3">
      <c r="A31" s="6" t="s">
        <v>7</v>
      </c>
      <c r="B31" s="7">
        <v>10281581.360121001</v>
      </c>
      <c r="C31" s="7">
        <v>123978.166278538</v>
      </c>
      <c r="D31" s="7">
        <v>-468913.60954950203</v>
      </c>
      <c r="E31" s="7">
        <v>-95177.612690672599</v>
      </c>
      <c r="F31" s="7">
        <v>23007.907881447602</v>
      </c>
      <c r="G31" s="7">
        <v>128473.556265732</v>
      </c>
      <c r="H31" s="7">
        <v>1</v>
      </c>
      <c r="I31" s="7">
        <v>-797736.50811031752</v>
      </c>
      <c r="J31" s="7">
        <f t="shared" si="7"/>
        <v>9195214.2601962257</v>
      </c>
      <c r="K31" s="124">
        <f t="shared" si="8"/>
        <v>-0.10566147967650663</v>
      </c>
      <c r="L31" s="89"/>
      <c r="M31" s="249"/>
    </row>
    <row r="32" spans="1:13" x14ac:dyDescent="0.3">
      <c r="A32" s="6" t="s">
        <v>8</v>
      </c>
      <c r="B32" s="7">
        <v>15337742.019602301</v>
      </c>
      <c r="C32" s="7">
        <v>0</v>
      </c>
      <c r="D32" s="7">
        <v>-682932.51481517102</v>
      </c>
      <c r="E32" s="7">
        <v>26256.865466502401</v>
      </c>
      <c r="F32" s="7">
        <v>114754.06920493201</v>
      </c>
      <c r="G32" s="7">
        <v>-151362.85802416399</v>
      </c>
      <c r="H32" s="7">
        <v>1</v>
      </c>
      <c r="I32" s="7">
        <v>37354.009752680919</v>
      </c>
      <c r="J32" s="7">
        <f t="shared" si="7"/>
        <v>14681812.591187082</v>
      </c>
      <c r="K32" s="124">
        <f t="shared" si="8"/>
        <v>-4.276571007498442E-2</v>
      </c>
      <c r="L32" s="89"/>
      <c r="M32" s="249"/>
    </row>
    <row r="33" spans="1:13" x14ac:dyDescent="0.3">
      <c r="A33" s="6" t="s">
        <v>9</v>
      </c>
      <c r="B33" s="7">
        <v>11132775.142554101</v>
      </c>
      <c r="C33" s="7">
        <v>0</v>
      </c>
      <c r="D33" s="7">
        <v>-294750.036125849</v>
      </c>
      <c r="E33" s="7">
        <v>-135117.829384157</v>
      </c>
      <c r="F33" s="7">
        <v>158543.960563206</v>
      </c>
      <c r="G33" s="7">
        <v>2210053.56476596</v>
      </c>
      <c r="H33" s="7">
        <v>1</v>
      </c>
      <c r="I33" s="7">
        <v>423392.55959875206</v>
      </c>
      <c r="J33" s="7">
        <f t="shared" si="7"/>
        <v>13494898.36197201</v>
      </c>
      <c r="K33" s="124">
        <f t="shared" si="8"/>
        <v>0.21217739415115733</v>
      </c>
      <c r="L33" s="89"/>
      <c r="M33" s="249"/>
    </row>
    <row r="34" spans="1:13" x14ac:dyDescent="0.3">
      <c r="A34" s="6" t="s">
        <v>10</v>
      </c>
      <c r="B34" s="7">
        <v>10461893.293177901</v>
      </c>
      <c r="C34" s="7">
        <v>2939.90173697402</v>
      </c>
      <c r="D34" s="7">
        <v>-263357.620857373</v>
      </c>
      <c r="E34" s="7">
        <v>-276728.307939274</v>
      </c>
      <c r="F34" s="7">
        <v>-31512.922020473601</v>
      </c>
      <c r="G34" s="7">
        <v>-514791.41551301401</v>
      </c>
      <c r="H34" s="7">
        <v>1</v>
      </c>
      <c r="I34" s="7">
        <v>819075.16372094688</v>
      </c>
      <c r="J34" s="7">
        <f t="shared" si="7"/>
        <v>10197519.092305686</v>
      </c>
      <c r="K34" s="124">
        <f t="shared" si="8"/>
        <v>-2.5270206210630142E-2</v>
      </c>
      <c r="L34" s="89"/>
      <c r="M34" s="249"/>
    </row>
    <row r="35" spans="1:13" x14ac:dyDescent="0.3">
      <c r="A35" s="6" t="s">
        <v>11</v>
      </c>
      <c r="B35" s="7">
        <v>23022520.014641002</v>
      </c>
      <c r="C35" s="7">
        <v>4951292.5419552196</v>
      </c>
      <c r="D35" s="7">
        <v>-567971.39339313703</v>
      </c>
      <c r="E35" s="7">
        <v>-393057.39903263102</v>
      </c>
      <c r="F35" s="7">
        <v>-339281.54079755303</v>
      </c>
      <c r="G35" s="7">
        <v>659885.35414414096</v>
      </c>
      <c r="H35" s="7">
        <v>1</v>
      </c>
      <c r="I35" s="7">
        <v>-2899713.8511317759</v>
      </c>
      <c r="J35" s="7">
        <f t="shared" si="7"/>
        <v>24433674.726385266</v>
      </c>
      <c r="K35" s="124">
        <f t="shared" si="8"/>
        <v>6.129453729856027E-2</v>
      </c>
      <c r="L35" s="89"/>
      <c r="M35" s="249"/>
    </row>
    <row r="36" spans="1:13" x14ac:dyDescent="0.3">
      <c r="A36" s="8" t="s">
        <v>27</v>
      </c>
      <c r="B36" s="9">
        <f>SUM(B24:B35)</f>
        <v>150715853.23289651</v>
      </c>
      <c r="C36" s="11">
        <f t="shared" ref="C36:J36" si="9">SUM(C24:C35)</f>
        <v>3787163.2556438027</v>
      </c>
      <c r="D36" s="11">
        <f t="shared" si="9"/>
        <v>-6071717.0680453237</v>
      </c>
      <c r="E36" s="11">
        <f t="shared" si="9"/>
        <v>-4970715.3262916449</v>
      </c>
      <c r="F36" s="11">
        <f t="shared" si="9"/>
        <v>-944802.09292134119</v>
      </c>
      <c r="G36" s="11">
        <f t="shared" si="9"/>
        <v>3495851.4600393712</v>
      </c>
      <c r="H36" s="11">
        <f t="shared" ref="H36" si="10">SUM(H24:H35)</f>
        <v>12</v>
      </c>
      <c r="I36" s="11">
        <f t="shared" si="9"/>
        <v>347813.3152191327</v>
      </c>
      <c r="J36" s="9">
        <f t="shared" si="9"/>
        <v>146359458.77654052</v>
      </c>
      <c r="K36" s="145">
        <f t="shared" si="8"/>
        <v>-2.8904686288204751E-2</v>
      </c>
      <c r="L36" s="89"/>
    </row>
    <row r="37" spans="1:13" x14ac:dyDescent="0.3">
      <c r="C37" s="91"/>
      <c r="D37" s="91"/>
      <c r="E37" s="91"/>
      <c r="F37" s="91"/>
      <c r="G37" s="91"/>
      <c r="H37" s="91"/>
      <c r="I37" s="91"/>
      <c r="J37" s="91"/>
    </row>
    <row r="38" spans="1:13" x14ac:dyDescent="0.3">
      <c r="E38" s="89"/>
      <c r="F38" s="89"/>
    </row>
  </sheetData>
  <mergeCells count="7">
    <mergeCell ref="M5:M6"/>
    <mergeCell ref="B1:J1"/>
    <mergeCell ref="A2:J2"/>
    <mergeCell ref="M7:M8"/>
    <mergeCell ref="A22:J22"/>
    <mergeCell ref="A19:B19"/>
    <mergeCell ref="M10:M11"/>
  </mergeCells>
  <hyperlinks>
    <hyperlink ref="C23" location="'Bolivia Support'!B25" display="Calendar" xr:uid="{00000000-0004-0000-0A00-000000000000}"/>
    <hyperlink ref="D23" location="'Bolivia Support'!N25" display="Economy" xr:uid="{00000000-0004-0000-0A00-000001000000}"/>
    <hyperlink ref="E23" location="'Bolivia Support'!V25" display="Affordability" xr:uid="{00000000-0004-0000-0A00-000002000000}"/>
    <hyperlink ref="F23" location="'Bolivia Support'!Z25" display="Competitiveness" xr:uid="{00000000-0004-0000-0A00-000003000000}"/>
    <hyperlink ref="G23" location="'Bolivia Support'!AH25" display="Weather" xr:uid="{00000000-0004-0000-0A00-000004000000}"/>
    <hyperlink ref="C3" location="'Bolivia Support'!B8" display="Calendar" xr:uid="{00000000-0004-0000-0A00-000005000000}"/>
    <hyperlink ref="D3" location="'Bolivia Support'!N8" display="Economy" xr:uid="{00000000-0004-0000-0A00-000006000000}"/>
    <hyperlink ref="E3" location="'Bolivia Support'!V8" display="Affordability" xr:uid="{00000000-0004-0000-0A00-000007000000}"/>
    <hyperlink ref="F3" location="'Bolivia Support'!Z8" display="Competitiveness" xr:uid="{00000000-0004-0000-0A00-000008000000}"/>
    <hyperlink ref="G3" location="'Bolivia Support'!AH8" display="Weather" xr:uid="{00000000-0004-0000-0A00-000009000000}"/>
    <hyperlink ref="H3" location="'Bolivia Support'!AL8" display="Leisure" xr:uid="{00000000-0004-0000-0A00-00000A000000}"/>
    <hyperlink ref="H23" location="'Bolivia Support'!AL25" display="Leisure" xr:uid="{00000000-0004-0000-0A00-00000B000000}"/>
  </hyperlinks>
  <pageMargins left="0.7" right="0.7" top="0.75" bottom="0.75" header="0.3" footer="0.3"/>
  <pageSetup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AO39"/>
  <sheetViews>
    <sheetView showGridLines="0" zoomScale="60" zoomScaleNormal="60" workbookViewId="0">
      <pane xSplit="1" ySplit="5" topLeftCell="R6" activePane="bottomRight" state="frozen"/>
      <selection pane="topRight"/>
      <selection pane="bottomLeft"/>
      <selection pane="bottomRight" activeCell="AC34" sqref="AC34"/>
    </sheetView>
  </sheetViews>
  <sheetFormatPr baseColWidth="10" defaultColWidth="11.5546875" defaultRowHeight="14.4" x14ac:dyDescent="0.3"/>
  <cols>
    <col min="1" max="1" width="31.109375" bestFit="1" customWidth="1"/>
    <col min="2" max="3" width="12" bestFit="1" customWidth="1"/>
    <col min="4" max="13" width="11.6640625" bestFit="1" customWidth="1"/>
    <col min="14" max="15" width="13.44140625" bestFit="1" customWidth="1"/>
    <col min="16" max="16" width="12.33203125" bestFit="1" customWidth="1"/>
    <col min="17" max="33" width="11.6640625" bestFit="1" customWidth="1"/>
    <col min="34" max="37" width="11.6640625" style="250" bestFit="1" customWidth="1"/>
  </cols>
  <sheetData>
    <row r="1" spans="1:41" ht="32.25" customHeight="1" x14ac:dyDescent="0.3">
      <c r="B1" s="315" t="s">
        <v>90</v>
      </c>
      <c r="C1" s="315"/>
      <c r="D1" s="315"/>
      <c r="E1" s="315"/>
      <c r="F1" s="315" t="s">
        <v>80</v>
      </c>
      <c r="G1" s="315"/>
      <c r="H1" s="315"/>
      <c r="I1" s="315"/>
      <c r="J1" s="316" t="s">
        <v>57</v>
      </c>
      <c r="K1" s="316"/>
      <c r="L1" s="316"/>
      <c r="M1" s="316"/>
      <c r="N1" s="315" t="s">
        <v>83</v>
      </c>
      <c r="O1" s="315"/>
      <c r="P1" s="315"/>
      <c r="Q1" s="315"/>
      <c r="R1" s="316" t="s">
        <v>36</v>
      </c>
      <c r="S1" s="316"/>
      <c r="T1" s="316"/>
      <c r="U1" s="316"/>
      <c r="V1" s="323" t="s">
        <v>85</v>
      </c>
      <c r="W1" s="323"/>
      <c r="X1" s="323"/>
      <c r="Y1" s="323"/>
      <c r="Z1" s="323" t="s">
        <v>86</v>
      </c>
      <c r="AA1" s="323"/>
      <c r="AB1" s="323"/>
      <c r="AC1" s="323"/>
      <c r="AD1" s="323" t="s">
        <v>32</v>
      </c>
      <c r="AE1" s="324"/>
      <c r="AF1" s="324"/>
      <c r="AG1" s="324"/>
      <c r="AH1" s="323" t="s">
        <v>88</v>
      </c>
      <c r="AI1" s="324"/>
      <c r="AJ1" s="324"/>
      <c r="AK1" s="324"/>
    </row>
    <row r="2" spans="1:41" x14ac:dyDescent="0.3">
      <c r="A2" s="38" t="s">
        <v>29</v>
      </c>
      <c r="B2" s="315"/>
      <c r="C2" s="315"/>
      <c r="D2" s="315"/>
      <c r="E2" s="315"/>
      <c r="F2" s="315"/>
      <c r="G2" s="315"/>
      <c r="H2" s="315"/>
      <c r="I2" s="315"/>
      <c r="J2" s="316"/>
      <c r="K2" s="316"/>
      <c r="L2" s="316"/>
      <c r="M2" s="316"/>
      <c r="N2" s="315"/>
      <c r="O2" s="315"/>
      <c r="P2" s="315"/>
      <c r="Q2" s="315"/>
      <c r="R2" s="316"/>
      <c r="S2" s="316"/>
      <c r="T2" s="316"/>
      <c r="U2" s="316"/>
      <c r="V2" s="323"/>
      <c r="W2" s="323"/>
      <c r="X2" s="323"/>
      <c r="Y2" s="323"/>
      <c r="Z2" s="323"/>
      <c r="AA2" s="323"/>
      <c r="AB2" s="323"/>
      <c r="AC2" s="323"/>
      <c r="AD2" s="324"/>
      <c r="AE2" s="324"/>
      <c r="AF2" s="324"/>
      <c r="AG2" s="324"/>
      <c r="AH2" s="324"/>
      <c r="AI2" s="324"/>
      <c r="AJ2" s="324"/>
      <c r="AK2" s="324"/>
    </row>
    <row r="3" spans="1:41" x14ac:dyDescent="0.3">
      <c r="A3" s="32" t="s">
        <v>30</v>
      </c>
      <c r="B3" s="315"/>
      <c r="C3" s="315"/>
      <c r="D3" s="315"/>
      <c r="E3" s="315"/>
      <c r="F3" s="315"/>
      <c r="G3" s="315"/>
      <c r="H3" s="315"/>
      <c r="I3" s="315"/>
      <c r="J3" s="316"/>
      <c r="K3" s="316"/>
      <c r="L3" s="316"/>
      <c r="M3" s="316"/>
      <c r="N3" s="315"/>
      <c r="O3" s="315"/>
      <c r="P3" s="315"/>
      <c r="Q3" s="315"/>
      <c r="R3" s="316"/>
      <c r="S3" s="316"/>
      <c r="T3" s="316"/>
      <c r="U3" s="316"/>
      <c r="V3" s="323"/>
      <c r="W3" s="323"/>
      <c r="X3" s="323"/>
      <c r="Y3" s="323"/>
      <c r="Z3" s="323"/>
      <c r="AA3" s="323"/>
      <c r="AB3" s="323"/>
      <c r="AC3" s="323"/>
      <c r="AD3" s="324"/>
      <c r="AE3" s="324"/>
      <c r="AF3" s="324"/>
      <c r="AG3" s="324"/>
      <c r="AH3" s="324"/>
      <c r="AI3" s="324"/>
      <c r="AJ3" s="324"/>
      <c r="AK3" s="324"/>
    </row>
    <row r="4" spans="1:41" ht="14.25" customHeight="1" x14ac:dyDescent="0.3">
      <c r="A4" s="85" t="s">
        <v>42</v>
      </c>
      <c r="B4" s="315"/>
      <c r="C4" s="315"/>
      <c r="D4" s="315"/>
      <c r="E4" s="315"/>
      <c r="F4" s="315"/>
      <c r="G4" s="315"/>
      <c r="H4" s="315"/>
      <c r="I4" s="315"/>
      <c r="J4" s="316"/>
      <c r="K4" s="316"/>
      <c r="L4" s="316"/>
      <c r="M4" s="316"/>
      <c r="N4" s="315"/>
      <c r="O4" s="315"/>
      <c r="P4" s="315"/>
      <c r="Q4" s="315"/>
      <c r="R4" s="316"/>
      <c r="S4" s="316"/>
      <c r="T4" s="316"/>
      <c r="U4" s="316"/>
      <c r="V4" s="323"/>
      <c r="W4" s="323"/>
      <c r="X4" s="323"/>
      <c r="Y4" s="323"/>
      <c r="Z4" s="323"/>
      <c r="AA4" s="323"/>
      <c r="AB4" s="323"/>
      <c r="AC4" s="323"/>
      <c r="AD4" s="324"/>
      <c r="AE4" s="324"/>
      <c r="AF4" s="324"/>
      <c r="AG4" s="324"/>
      <c r="AH4" s="324"/>
      <c r="AI4" s="324"/>
      <c r="AJ4" s="324"/>
      <c r="AK4" s="324"/>
      <c r="AL4" s="31"/>
      <c r="AM4" s="31"/>
      <c r="AN4" s="31"/>
      <c r="AO4" s="31"/>
    </row>
    <row r="5" spans="1:41" s="3" customFormat="1" ht="14.25" customHeight="1" x14ac:dyDescent="0.3">
      <c r="A5" s="82" t="s">
        <v>56</v>
      </c>
      <c r="B5" s="315"/>
      <c r="C5" s="315"/>
      <c r="D5" s="315"/>
      <c r="E5" s="315"/>
      <c r="F5" s="315"/>
      <c r="G5" s="315"/>
      <c r="H5" s="315"/>
      <c r="I5" s="315"/>
      <c r="J5" s="316"/>
      <c r="K5" s="316"/>
      <c r="L5" s="316"/>
      <c r="M5" s="316"/>
      <c r="N5" s="315"/>
      <c r="O5" s="315"/>
      <c r="P5" s="315"/>
      <c r="Q5" s="315"/>
      <c r="R5" s="316"/>
      <c r="S5" s="316"/>
      <c r="T5" s="316"/>
      <c r="U5" s="316"/>
      <c r="V5" s="323"/>
      <c r="W5" s="323"/>
      <c r="X5" s="323"/>
      <c r="Y5" s="323"/>
      <c r="Z5" s="323"/>
      <c r="AA5" s="323"/>
      <c r="AB5" s="323"/>
      <c r="AC5" s="323"/>
      <c r="AD5" s="324"/>
      <c r="AE5" s="324"/>
      <c r="AF5" s="324"/>
      <c r="AG5" s="324"/>
      <c r="AH5" s="324"/>
      <c r="AI5" s="324"/>
      <c r="AJ5" s="324"/>
      <c r="AK5" s="324"/>
      <c r="AL5" s="32"/>
      <c r="AM5" s="32"/>
      <c r="AN5" s="32"/>
      <c r="AO5" s="32"/>
    </row>
    <row r="6" spans="1:41" ht="15.9" customHeight="1" thickBot="1" x14ac:dyDescent="0.35">
      <c r="A6" s="39" t="str">
        <f>"Bolivia - "&amp;'Bolivia DT'!A2:J2</f>
        <v>Bolivia - w47</v>
      </c>
      <c r="B6" s="33"/>
      <c r="C6" s="33"/>
      <c r="N6" s="29"/>
      <c r="O6" s="29"/>
    </row>
    <row r="7" spans="1:41" ht="15" thickBot="1" x14ac:dyDescent="0.35">
      <c r="A7" s="30"/>
      <c r="B7" s="313" t="s">
        <v>21</v>
      </c>
      <c r="C7" s="313"/>
      <c r="D7" s="313"/>
      <c r="E7" s="313"/>
      <c r="F7" s="313"/>
      <c r="G7" s="313"/>
      <c r="H7" s="313"/>
      <c r="I7" s="313"/>
      <c r="J7" s="313"/>
      <c r="K7" s="313"/>
      <c r="L7" s="313"/>
      <c r="M7" s="314"/>
      <c r="N7" s="312" t="s">
        <v>22</v>
      </c>
      <c r="O7" s="313"/>
      <c r="P7" s="313"/>
      <c r="Q7" s="314"/>
      <c r="R7" s="312" t="s">
        <v>41</v>
      </c>
      <c r="S7" s="313"/>
      <c r="T7" s="313"/>
      <c r="U7" s="314"/>
      <c r="V7" s="312" t="s">
        <v>23</v>
      </c>
      <c r="W7" s="313"/>
      <c r="X7" s="313"/>
      <c r="Y7" s="314"/>
      <c r="Z7" s="312" t="s">
        <v>24</v>
      </c>
      <c r="AA7" s="313"/>
      <c r="AB7" s="313"/>
      <c r="AC7" s="314"/>
      <c r="AD7" s="312" t="s">
        <v>25</v>
      </c>
      <c r="AE7" s="313"/>
      <c r="AF7" s="313"/>
      <c r="AG7" s="314"/>
      <c r="AH7" s="312" t="s">
        <v>61</v>
      </c>
      <c r="AI7" s="313"/>
      <c r="AJ7" s="313"/>
      <c r="AK7" s="314"/>
    </row>
    <row r="8" spans="1:41" ht="15" thickBot="1" x14ac:dyDescent="0.35">
      <c r="A8" s="2"/>
      <c r="B8" s="312" t="s">
        <v>89</v>
      </c>
      <c r="C8" s="313"/>
      <c r="D8" s="313"/>
      <c r="E8" s="314"/>
      <c r="F8" s="312" t="s">
        <v>81</v>
      </c>
      <c r="G8" s="313"/>
      <c r="H8" s="313"/>
      <c r="I8" s="314"/>
      <c r="J8" s="313" t="s">
        <v>57</v>
      </c>
      <c r="K8" s="313"/>
      <c r="L8" s="313"/>
      <c r="M8" s="314"/>
      <c r="N8" s="312" t="s">
        <v>82</v>
      </c>
      <c r="O8" s="313"/>
      <c r="P8" s="313"/>
      <c r="Q8" s="314"/>
      <c r="R8" s="312" t="s">
        <v>35</v>
      </c>
      <c r="S8" s="313"/>
      <c r="T8" s="313"/>
      <c r="U8" s="314"/>
      <c r="V8" s="312" t="s">
        <v>84</v>
      </c>
      <c r="W8" s="313"/>
      <c r="X8" s="313"/>
      <c r="Y8" s="314"/>
      <c r="Z8" s="312" t="s">
        <v>73</v>
      </c>
      <c r="AA8" s="313"/>
      <c r="AB8" s="313"/>
      <c r="AC8" s="314"/>
      <c r="AD8" s="312" t="s">
        <v>16</v>
      </c>
      <c r="AE8" s="313"/>
      <c r="AF8" s="313"/>
      <c r="AG8" s="314"/>
      <c r="AH8" s="312" t="s">
        <v>87</v>
      </c>
      <c r="AI8" s="313"/>
      <c r="AJ8" s="313"/>
      <c r="AK8" s="314"/>
    </row>
    <row r="9" spans="1:41" x14ac:dyDescent="0.3">
      <c r="A9" s="1"/>
      <c r="B9" s="12">
        <v>2020</v>
      </c>
      <c r="C9" s="13">
        <v>2021</v>
      </c>
      <c r="D9" s="13" t="s">
        <v>12</v>
      </c>
      <c r="E9" s="14" t="s">
        <v>13</v>
      </c>
      <c r="F9" s="12">
        <v>2020</v>
      </c>
      <c r="G9" s="13">
        <v>2021</v>
      </c>
      <c r="H9" s="13" t="s">
        <v>12</v>
      </c>
      <c r="I9" s="14" t="s">
        <v>13</v>
      </c>
      <c r="J9" s="44">
        <v>2020</v>
      </c>
      <c r="K9" s="45">
        <v>2021</v>
      </c>
      <c r="L9" s="45" t="s">
        <v>12</v>
      </c>
      <c r="M9" s="46" t="s">
        <v>13</v>
      </c>
      <c r="N9" s="12">
        <v>2020</v>
      </c>
      <c r="O9" s="13">
        <v>2021</v>
      </c>
      <c r="P9" s="13" t="s">
        <v>12</v>
      </c>
      <c r="Q9" s="14" t="s">
        <v>13</v>
      </c>
      <c r="R9" s="44">
        <v>2020</v>
      </c>
      <c r="S9" s="45">
        <v>2021</v>
      </c>
      <c r="T9" s="45" t="s">
        <v>12</v>
      </c>
      <c r="U9" s="46" t="s">
        <v>13</v>
      </c>
      <c r="V9" s="12">
        <v>2020</v>
      </c>
      <c r="W9" s="13">
        <v>2021</v>
      </c>
      <c r="X9" s="13" t="s">
        <v>12</v>
      </c>
      <c r="Y9" s="14" t="s">
        <v>13</v>
      </c>
      <c r="Z9" s="12">
        <v>2020</v>
      </c>
      <c r="AA9" s="13">
        <v>2021</v>
      </c>
      <c r="AB9" s="13" t="s">
        <v>12</v>
      </c>
      <c r="AC9" s="14" t="s">
        <v>13</v>
      </c>
      <c r="AD9" s="12">
        <v>2020</v>
      </c>
      <c r="AE9" s="13">
        <v>2021</v>
      </c>
      <c r="AF9" s="13" t="s">
        <v>12</v>
      </c>
      <c r="AG9" s="14" t="s">
        <v>13</v>
      </c>
      <c r="AH9" s="12">
        <v>2020</v>
      </c>
      <c r="AI9" s="13">
        <v>2021</v>
      </c>
      <c r="AJ9" s="13" t="s">
        <v>12</v>
      </c>
      <c r="AK9" s="14" t="s">
        <v>13</v>
      </c>
    </row>
    <row r="10" spans="1:41" x14ac:dyDescent="0.3">
      <c r="A10" s="1" t="s">
        <v>0</v>
      </c>
      <c r="B10" s="23">
        <v>25</v>
      </c>
      <c r="C10" s="24">
        <v>24</v>
      </c>
      <c r="D10" s="24">
        <f>C10-B10</f>
        <v>-1</v>
      </c>
      <c r="E10" s="17">
        <f>(C10-B10)/ABS(B10)</f>
        <v>-0.04</v>
      </c>
      <c r="F10" s="15">
        <v>0.83035714275000005</v>
      </c>
      <c r="G10" s="16">
        <v>0.70238095199999995</v>
      </c>
      <c r="H10" s="16">
        <f>G10-F10</f>
        <v>-0.12797619075000011</v>
      </c>
      <c r="I10" s="17">
        <f>(G10-F10)/F10</f>
        <v>-0.15412186414891907</v>
      </c>
      <c r="J10" s="76">
        <v>20</v>
      </c>
      <c r="K10" s="77">
        <v>19</v>
      </c>
      <c r="L10" s="77">
        <f>K10-J10</f>
        <v>-1</v>
      </c>
      <c r="M10" s="50">
        <f>(K10-J10)/ABS(J10)</f>
        <v>-0.05</v>
      </c>
      <c r="N10" s="156">
        <v>11316.218000000001</v>
      </c>
      <c r="O10" s="157">
        <v>11379.576999999999</v>
      </c>
      <c r="P10" s="157">
        <f>O10-N10</f>
        <v>63.358999999998559</v>
      </c>
      <c r="Q10" s="17">
        <f>(O10-N10)/ABS(N10)</f>
        <v>5.5989554107210163E-3</v>
      </c>
      <c r="R10" s="71">
        <v>2.2627512184811849E-3</v>
      </c>
      <c r="S10" s="72">
        <v>-2.9692386900392274E-4</v>
      </c>
      <c r="T10" s="73">
        <f>S10-R10</f>
        <v>-2.5596750874851077E-3</v>
      </c>
      <c r="U10" s="50">
        <f>(S10-R10)/ABS(R10)</f>
        <v>-1.1312224987788209</v>
      </c>
      <c r="V10" s="15">
        <v>25.803042551503601</v>
      </c>
      <c r="W10" s="16">
        <v>26.8368182431003</v>
      </c>
      <c r="X10" s="16">
        <f t="shared" ref="X10:X22" si="0">W10-V10</f>
        <v>1.0337756915966985</v>
      </c>
      <c r="Y10" s="17">
        <f t="shared" ref="Y10:Y22" si="1">(W10-V10)/ABS(V10)</f>
        <v>4.0064100562298151E-2</v>
      </c>
      <c r="Z10" s="15">
        <v>1.13866953230781</v>
      </c>
      <c r="AA10" s="16">
        <v>1.1639448250271101</v>
      </c>
      <c r="AB10" s="16">
        <f>AA10-Z10</f>
        <v>2.5275292719300069E-2</v>
      </c>
      <c r="AC10" s="17">
        <f t="shared" ref="AC10:AC22" si="2">(AA10-Z10)/ABS(Z10)</f>
        <v>2.2197215260579699E-2</v>
      </c>
      <c r="AD10" s="15">
        <v>29.233928571</v>
      </c>
      <c r="AE10" s="16">
        <v>29.065476189999998</v>
      </c>
      <c r="AF10" s="16">
        <f>AE10-AD10</f>
        <v>-0.16845238100000159</v>
      </c>
      <c r="AG10" s="17">
        <f>(AE10-AD10)/ABS(AD10)</f>
        <v>-5.7622218167114915E-3</v>
      </c>
      <c r="AH10" s="15">
        <v>29.233928571</v>
      </c>
      <c r="AI10" s="16">
        <v>29.065476189999998</v>
      </c>
      <c r="AJ10" s="16">
        <f>AI10-AH10</f>
        <v>-0.16845238100000159</v>
      </c>
      <c r="AK10" s="17">
        <f>(AI10-AH10)/ABS(AH10)</f>
        <v>-5.7622218167114915E-3</v>
      </c>
    </row>
    <row r="11" spans="1:41" x14ac:dyDescent="0.3">
      <c r="A11" s="1" t="s">
        <v>1</v>
      </c>
      <c r="B11" s="23">
        <v>28</v>
      </c>
      <c r="C11" s="24">
        <v>28</v>
      </c>
      <c r="D11" s="24">
        <f t="shared" ref="D11:D22" si="3">C11-B11</f>
        <v>0</v>
      </c>
      <c r="E11" s="17">
        <f t="shared" ref="E11:E22" si="4">(C11-B11)/ABS(B11)</f>
        <v>0</v>
      </c>
      <c r="F11" s="15">
        <v>0.85714285700000004</v>
      </c>
      <c r="G11" s="16">
        <v>0.71428571399999996</v>
      </c>
      <c r="H11" s="16">
        <f t="shared" ref="H11:H22" si="5">G11-F11</f>
        <v>-0.14285714300000008</v>
      </c>
      <c r="I11" s="17">
        <f t="shared" ref="I11:I22" si="6">(G11-F11)/F11</f>
        <v>-0.1666666668611112</v>
      </c>
      <c r="J11" s="76">
        <v>24</v>
      </c>
      <c r="K11" s="77">
        <v>24</v>
      </c>
      <c r="L11" s="77">
        <f t="shared" ref="L11:L22" si="7">K11-J11</f>
        <v>0</v>
      </c>
      <c r="M11" s="50">
        <f t="shared" ref="M11:M22" si="8">(K11-J11)/ABS(J11)</f>
        <v>0</v>
      </c>
      <c r="N11" s="156">
        <v>11316.218000000001</v>
      </c>
      <c r="O11" s="157">
        <v>11379.576999999999</v>
      </c>
      <c r="P11" s="157">
        <f t="shared" ref="P11:P22" si="9">O11-N11</f>
        <v>63.358999999998559</v>
      </c>
      <c r="Q11" s="17">
        <f t="shared" ref="Q11:Q22" si="10">(O11-N11)/ABS(N11)</f>
        <v>5.5989554107210163E-3</v>
      </c>
      <c r="R11" s="71">
        <v>-1.5241018094483971E-3</v>
      </c>
      <c r="S11" s="72">
        <v>-6.2568995867600297E-4</v>
      </c>
      <c r="T11" s="73">
        <f t="shared" ref="T11:T22" si="11">S11-R11</f>
        <v>8.9841185077239416E-4</v>
      </c>
      <c r="U11" s="50">
        <f t="shared" ref="U11:U22" si="12">(S11-R11)/ABS(R11)</f>
        <v>0.58946970943991417</v>
      </c>
      <c r="V11" s="15">
        <v>25.882796540485199</v>
      </c>
      <c r="W11" s="16">
        <v>27.303291372601699</v>
      </c>
      <c r="X11" s="16">
        <f t="shared" si="0"/>
        <v>1.4204948321164999</v>
      </c>
      <c r="Y11" s="17">
        <f t="shared" si="1"/>
        <v>5.4881814254290437E-2</v>
      </c>
      <c r="Z11" s="15">
        <v>1.13701120136947</v>
      </c>
      <c r="AA11" s="16">
        <v>1.1781928395043999</v>
      </c>
      <c r="AB11" s="16">
        <f t="shared" ref="AB11:AB22" si="13">AA11-Z11</f>
        <v>4.1181638134929921E-2</v>
      </c>
      <c r="AC11" s="17">
        <f t="shared" si="2"/>
        <v>3.6219201785636597E-2</v>
      </c>
      <c r="AD11" s="15">
        <v>28.560714285</v>
      </c>
      <c r="AE11" s="16">
        <v>28.47857142825</v>
      </c>
      <c r="AF11" s="16">
        <f t="shared" ref="AF11:AF22" si="14">AE11-AD11</f>
        <v>-8.2142856749999993E-2</v>
      </c>
      <c r="AG11" s="17">
        <f t="shared" ref="AG11:AG22" si="15">(AE11-AD11)/ABS(AD11)</f>
        <v>-2.8760785157653139E-3</v>
      </c>
      <c r="AH11" s="15">
        <v>28.560714285</v>
      </c>
      <c r="AI11" s="16">
        <v>28.47857142825</v>
      </c>
      <c r="AJ11" s="16">
        <f t="shared" ref="AJ11:AJ22" si="16">AI11-AH11</f>
        <v>-8.2142856749999993E-2</v>
      </c>
      <c r="AK11" s="17">
        <f t="shared" ref="AK11:AK22" si="17">(AI11-AH11)/ABS(AH11)</f>
        <v>-2.8760785157653139E-3</v>
      </c>
    </row>
    <row r="12" spans="1:41" x14ac:dyDescent="0.3">
      <c r="A12" s="1" t="s">
        <v>2</v>
      </c>
      <c r="B12" s="23">
        <v>35</v>
      </c>
      <c r="C12" s="24">
        <v>35</v>
      </c>
      <c r="D12" s="24">
        <f t="shared" si="3"/>
        <v>0</v>
      </c>
      <c r="E12" s="17">
        <f t="shared" si="4"/>
        <v>0</v>
      </c>
      <c r="F12" s="15">
        <v>0.77142857119999997</v>
      </c>
      <c r="G12" s="16">
        <v>0.59999999959999994</v>
      </c>
      <c r="H12" s="16">
        <f t="shared" si="5"/>
        <v>-0.17142857160000002</v>
      </c>
      <c r="I12" s="17">
        <f t="shared" si="6"/>
        <v>-0.22222222251028811</v>
      </c>
      <c r="J12" s="76">
        <v>28</v>
      </c>
      <c r="K12" s="77">
        <v>28</v>
      </c>
      <c r="L12" s="77">
        <f t="shared" si="7"/>
        <v>0</v>
      </c>
      <c r="M12" s="50">
        <f t="shared" si="8"/>
        <v>0</v>
      </c>
      <c r="N12" s="156">
        <v>11316.218000000001</v>
      </c>
      <c r="O12" s="157">
        <v>11379.576999999999</v>
      </c>
      <c r="P12" s="157">
        <f t="shared" si="9"/>
        <v>63.358999999998559</v>
      </c>
      <c r="Q12" s="17">
        <f t="shared" si="10"/>
        <v>5.5989554107210163E-3</v>
      </c>
      <c r="R12" s="71">
        <v>-1.703758784240561E-4</v>
      </c>
      <c r="S12" s="72">
        <v>1.156295260129811E-3</v>
      </c>
      <c r="T12" s="73">
        <f t="shared" si="11"/>
        <v>1.3266711385538671E-3</v>
      </c>
      <c r="U12" s="50">
        <f t="shared" si="12"/>
        <v>7.7867310256904814</v>
      </c>
      <c r="V12" s="15">
        <v>26.145372579667701</v>
      </c>
      <c r="W12" s="16">
        <v>27.027445726842998</v>
      </c>
      <c r="X12" s="16">
        <f t="shared" si="0"/>
        <v>0.88207314717529783</v>
      </c>
      <c r="Y12" s="17">
        <f t="shared" si="1"/>
        <v>3.3737256735872787E-2</v>
      </c>
      <c r="Z12" s="15">
        <v>1.14457502330639</v>
      </c>
      <c r="AA12" s="16">
        <v>1.1689537266130401</v>
      </c>
      <c r="AB12" s="16">
        <f t="shared" si="13"/>
        <v>2.437870330665004E-2</v>
      </c>
      <c r="AC12" s="17">
        <f t="shared" si="2"/>
        <v>2.1299349374430766E-2</v>
      </c>
      <c r="AD12" s="15">
        <v>27.5199999996</v>
      </c>
      <c r="AE12" s="16">
        <v>28.777142856800001</v>
      </c>
      <c r="AF12" s="16">
        <f t="shared" si="14"/>
        <v>1.2571428572000016</v>
      </c>
      <c r="AG12" s="17">
        <f t="shared" si="15"/>
        <v>4.5681063125664029E-2</v>
      </c>
      <c r="AH12" s="15">
        <v>27.5199999996</v>
      </c>
      <c r="AI12" s="16">
        <v>28.777142856800001</v>
      </c>
      <c r="AJ12" s="16">
        <f t="shared" si="16"/>
        <v>1.2571428572000016</v>
      </c>
      <c r="AK12" s="17">
        <f t="shared" si="17"/>
        <v>4.5681063125664029E-2</v>
      </c>
    </row>
    <row r="13" spans="1:41" x14ac:dyDescent="0.3">
      <c r="A13" s="1" t="s">
        <v>3</v>
      </c>
      <c r="B13" s="23">
        <v>28</v>
      </c>
      <c r="C13" s="24">
        <v>28</v>
      </c>
      <c r="D13" s="24">
        <f t="shared" si="3"/>
        <v>0</v>
      </c>
      <c r="E13" s="17">
        <f t="shared" si="4"/>
        <v>0</v>
      </c>
      <c r="F13" s="15">
        <v>0.67857142825000005</v>
      </c>
      <c r="G13" s="16">
        <v>0.60714285675000002</v>
      </c>
      <c r="H13" s="16">
        <f t="shared" si="5"/>
        <v>-7.1428571500000038E-2</v>
      </c>
      <c r="I13" s="17">
        <f t="shared" si="6"/>
        <v>-0.10526315804986154</v>
      </c>
      <c r="J13" s="76">
        <v>23</v>
      </c>
      <c r="K13" s="77">
        <v>23</v>
      </c>
      <c r="L13" s="77">
        <f t="shared" si="7"/>
        <v>0</v>
      </c>
      <c r="M13" s="50">
        <f t="shared" si="8"/>
        <v>0</v>
      </c>
      <c r="N13" s="156">
        <v>12506.583000000001</v>
      </c>
      <c r="O13" s="157">
        <v>9795.5048941903297</v>
      </c>
      <c r="P13" s="157">
        <f t="shared" si="9"/>
        <v>-2711.0781058096709</v>
      </c>
      <c r="Q13" s="17">
        <f t="shared" si="10"/>
        <v>-0.2167720876125534</v>
      </c>
      <c r="R13" s="71">
        <v>1.4016510059617904E-3</v>
      </c>
      <c r="S13" s="72">
        <v>4.1652824304117021E-3</v>
      </c>
      <c r="T13" s="73">
        <f t="shared" si="11"/>
        <v>2.7636314244499117E-3</v>
      </c>
      <c r="U13" s="50">
        <f t="shared" si="12"/>
        <v>1.9716972432474746</v>
      </c>
      <c r="V13" s="15">
        <v>26.381530391938</v>
      </c>
      <c r="W13" s="16">
        <v>27.027445726842998</v>
      </c>
      <c r="X13" s="16">
        <f t="shared" si="0"/>
        <v>0.64591533490499842</v>
      </c>
      <c r="Y13" s="17">
        <f t="shared" si="1"/>
        <v>2.4483618854135369E-2</v>
      </c>
      <c r="Z13" s="15">
        <v>1.1572695421717001</v>
      </c>
      <c r="AA13" s="16">
        <v>1.1689537266130401</v>
      </c>
      <c r="AB13" s="16">
        <f t="shared" si="13"/>
        <v>1.1684184441340006E-2</v>
      </c>
      <c r="AC13" s="17">
        <f t="shared" si="2"/>
        <v>1.0096337988308056E-2</v>
      </c>
      <c r="AD13" s="15">
        <v>27.703571428250001</v>
      </c>
      <c r="AE13" s="16">
        <v>27.192857142499999</v>
      </c>
      <c r="AF13" s="16">
        <f t="shared" si="14"/>
        <v>-0.51071428575000155</v>
      </c>
      <c r="AG13" s="17">
        <f t="shared" si="15"/>
        <v>-1.8434961971336802E-2</v>
      </c>
      <c r="AH13" s="15">
        <v>27.703571428250001</v>
      </c>
      <c r="AI13" s="16">
        <v>27.192857142499999</v>
      </c>
      <c r="AJ13" s="16">
        <f t="shared" si="16"/>
        <v>-0.51071428575000155</v>
      </c>
      <c r="AK13" s="17">
        <f t="shared" si="17"/>
        <v>-1.8434961971336802E-2</v>
      </c>
    </row>
    <row r="14" spans="1:41" x14ac:dyDescent="0.3">
      <c r="A14" s="1" t="s">
        <v>4</v>
      </c>
      <c r="B14" s="23">
        <v>28</v>
      </c>
      <c r="C14" s="24">
        <v>28</v>
      </c>
      <c r="D14" s="24">
        <f t="shared" si="3"/>
        <v>0</v>
      </c>
      <c r="E14" s="17">
        <f t="shared" si="4"/>
        <v>0</v>
      </c>
      <c r="F14" s="15">
        <v>0.60714285675000002</v>
      </c>
      <c r="G14" s="16">
        <v>0.67857142825000005</v>
      </c>
      <c r="H14" s="16">
        <f t="shared" si="5"/>
        <v>7.1428571500000038E-2</v>
      </c>
      <c r="I14" s="17">
        <f t="shared" si="6"/>
        <v>0.1176470590173011</v>
      </c>
      <c r="J14" s="76">
        <v>23</v>
      </c>
      <c r="K14" s="77">
        <v>23</v>
      </c>
      <c r="L14" s="77">
        <f t="shared" si="7"/>
        <v>0</v>
      </c>
      <c r="M14" s="50">
        <f t="shared" si="8"/>
        <v>0</v>
      </c>
      <c r="N14" s="156">
        <v>12506.583000000001</v>
      </c>
      <c r="O14" s="157">
        <v>9795.5048941903297</v>
      </c>
      <c r="P14" s="157">
        <f t="shared" si="9"/>
        <v>-2711.0781058096709</v>
      </c>
      <c r="Q14" s="17">
        <f t="shared" si="10"/>
        <v>-0.2167720876125534</v>
      </c>
      <c r="R14" s="71">
        <v>4.5557053299622998E-3</v>
      </c>
      <c r="S14" s="72">
        <v>-2.4494293675572551E-4</v>
      </c>
      <c r="T14" s="73">
        <f t="shared" si="11"/>
        <v>-4.8006482667180255E-3</v>
      </c>
      <c r="U14" s="50">
        <f t="shared" si="12"/>
        <v>-1.0537661940391023</v>
      </c>
      <c r="V14" s="15">
        <v>26.3767531326327</v>
      </c>
      <c r="W14" s="16">
        <v>27.027445726842998</v>
      </c>
      <c r="X14" s="16">
        <f t="shared" si="0"/>
        <v>0.65069259421029813</v>
      </c>
      <c r="Y14" s="17">
        <f t="shared" si="1"/>
        <v>2.4669169512197334E-2</v>
      </c>
      <c r="Z14" s="15">
        <v>1.14542228011136</v>
      </c>
      <c r="AA14" s="16">
        <v>1.1689537266130401</v>
      </c>
      <c r="AB14" s="16">
        <f t="shared" si="13"/>
        <v>2.3531446501680042E-2</v>
      </c>
      <c r="AC14" s="17">
        <f t="shared" si="2"/>
        <v>2.054390499492665E-2</v>
      </c>
      <c r="AD14" s="15">
        <v>25.47857142825</v>
      </c>
      <c r="AE14" s="16">
        <v>26.339285713999999</v>
      </c>
      <c r="AF14" s="16">
        <f t="shared" si="14"/>
        <v>0.86071428574999942</v>
      </c>
      <c r="AG14" s="17">
        <f t="shared" si="15"/>
        <v>3.3781889544861256E-2</v>
      </c>
      <c r="AH14" s="15">
        <v>25.47857142825</v>
      </c>
      <c r="AI14" s="16">
        <v>26.339285713999999</v>
      </c>
      <c r="AJ14" s="16">
        <f t="shared" si="16"/>
        <v>0.86071428574999942</v>
      </c>
      <c r="AK14" s="17">
        <f t="shared" si="17"/>
        <v>3.3781889544861256E-2</v>
      </c>
    </row>
    <row r="15" spans="1:41" x14ac:dyDescent="0.3">
      <c r="A15" s="1" t="s">
        <v>5</v>
      </c>
      <c r="B15" s="23">
        <v>35</v>
      </c>
      <c r="C15" s="24">
        <v>35</v>
      </c>
      <c r="D15" s="24">
        <f t="shared" si="3"/>
        <v>0</v>
      </c>
      <c r="E15" s="17">
        <f t="shared" si="4"/>
        <v>0</v>
      </c>
      <c r="F15" s="15">
        <v>0.6285714282</v>
      </c>
      <c r="G15" s="16">
        <v>0.65714285679999995</v>
      </c>
      <c r="H15" s="16">
        <f t="shared" si="5"/>
        <v>2.8571428599999948E-2</v>
      </c>
      <c r="I15" s="17">
        <f t="shared" si="6"/>
        <v>4.5454545526859423E-2</v>
      </c>
      <c r="J15" s="76">
        <v>28</v>
      </c>
      <c r="K15" s="77">
        <v>24</v>
      </c>
      <c r="L15" s="77">
        <f t="shared" si="7"/>
        <v>-4</v>
      </c>
      <c r="M15" s="50">
        <f t="shared" si="8"/>
        <v>-0.14285714285714285</v>
      </c>
      <c r="N15" s="156">
        <v>12506.583000000001</v>
      </c>
      <c r="O15" s="157">
        <v>9795.5048941903297</v>
      </c>
      <c r="P15" s="157">
        <f t="shared" si="9"/>
        <v>-2711.0781058096709</v>
      </c>
      <c r="Q15" s="17">
        <f t="shared" si="10"/>
        <v>-0.2167720876125534</v>
      </c>
      <c r="R15" s="71">
        <v>1.5589407761694386E-3</v>
      </c>
      <c r="S15" s="72">
        <v>3.6181510886952317E-3</v>
      </c>
      <c r="T15" s="73">
        <f t="shared" si="11"/>
        <v>2.0592103125257931E-3</v>
      </c>
      <c r="U15" s="50">
        <f t="shared" si="12"/>
        <v>1.3209034903722225</v>
      </c>
      <c r="V15" s="15">
        <v>26.804885552949099</v>
      </c>
      <c r="W15" s="16">
        <v>27.027445726842998</v>
      </c>
      <c r="X15" s="16">
        <f t="shared" si="0"/>
        <v>0.22256017389389982</v>
      </c>
      <c r="Y15" s="17">
        <f t="shared" si="1"/>
        <v>8.3029704959666772E-3</v>
      </c>
      <c r="Z15" s="15">
        <v>1.16380594033589</v>
      </c>
      <c r="AA15" s="16">
        <v>1.1689537266130401</v>
      </c>
      <c r="AB15" s="16">
        <f t="shared" si="13"/>
        <v>5.1477862771500682E-3</v>
      </c>
      <c r="AC15" s="17">
        <f t="shared" si="2"/>
        <v>4.423234234106373E-3</v>
      </c>
      <c r="AD15" s="15">
        <v>26.411428571199998</v>
      </c>
      <c r="AE15" s="16">
        <v>25.737142856799998</v>
      </c>
      <c r="AF15" s="16">
        <f t="shared" si="14"/>
        <v>-0.67428571439999985</v>
      </c>
      <c r="AG15" s="17">
        <f t="shared" si="15"/>
        <v>-2.5530073565776978E-2</v>
      </c>
      <c r="AH15" s="15">
        <v>26.411428571199998</v>
      </c>
      <c r="AI15" s="16">
        <v>25.737142856799998</v>
      </c>
      <c r="AJ15" s="16">
        <f t="shared" si="16"/>
        <v>-0.67428571439999985</v>
      </c>
      <c r="AK15" s="17">
        <f t="shared" si="17"/>
        <v>-2.5530073565776978E-2</v>
      </c>
    </row>
    <row r="16" spans="1:41" x14ac:dyDescent="0.3">
      <c r="A16" s="1" t="s">
        <v>6</v>
      </c>
      <c r="B16" s="23">
        <v>28</v>
      </c>
      <c r="C16" s="24">
        <v>28</v>
      </c>
      <c r="D16" s="24">
        <f t="shared" si="3"/>
        <v>0</v>
      </c>
      <c r="E16" s="17">
        <f t="shared" si="4"/>
        <v>0</v>
      </c>
      <c r="F16" s="15">
        <v>0.64285714250000003</v>
      </c>
      <c r="G16" s="16">
        <v>0.64285714250000003</v>
      </c>
      <c r="H16" s="16">
        <f t="shared" si="5"/>
        <v>0</v>
      </c>
      <c r="I16" s="17">
        <f t="shared" si="6"/>
        <v>0</v>
      </c>
      <c r="J16" s="76">
        <v>24</v>
      </c>
      <c r="K16" s="77">
        <v>23</v>
      </c>
      <c r="L16" s="77">
        <f t="shared" si="7"/>
        <v>-1</v>
      </c>
      <c r="M16" s="50">
        <f t="shared" si="8"/>
        <v>-4.1666666666666664E-2</v>
      </c>
      <c r="N16" s="156">
        <v>12490.126</v>
      </c>
      <c r="O16" s="157">
        <v>11377.2557734</v>
      </c>
      <c r="P16" s="157">
        <f t="shared" si="9"/>
        <v>-1112.8702266</v>
      </c>
      <c r="Q16" s="17">
        <f t="shared" si="10"/>
        <v>-8.9099999999999999E-2</v>
      </c>
      <c r="R16" s="71">
        <v>2.2622601362955901E-3</v>
      </c>
      <c r="S16" s="72">
        <v>1.3684131595235484E-3</v>
      </c>
      <c r="T16" s="73">
        <f t="shared" si="11"/>
        <v>-8.9384697677204173E-4</v>
      </c>
      <c r="U16" s="50">
        <f t="shared" si="12"/>
        <v>-0.3951123756420426</v>
      </c>
      <c r="V16" s="15">
        <v>26.539108498111201</v>
      </c>
      <c r="W16" s="16">
        <v>27.027445726842998</v>
      </c>
      <c r="X16" s="16">
        <f t="shared" si="0"/>
        <v>0.48833722873179752</v>
      </c>
      <c r="Y16" s="17">
        <f t="shared" si="1"/>
        <v>1.8400664391818311E-2</v>
      </c>
      <c r="Z16" s="15">
        <v>1.1512895034630599</v>
      </c>
      <c r="AA16" s="16">
        <v>1.1689537266130401</v>
      </c>
      <c r="AB16" s="16">
        <f t="shared" si="13"/>
        <v>1.7664223149980174E-2</v>
      </c>
      <c r="AC16" s="17">
        <f t="shared" si="2"/>
        <v>1.5342989836045999E-2</v>
      </c>
      <c r="AD16" s="15">
        <v>24.896428571000001</v>
      </c>
      <c r="AE16" s="16">
        <v>25.599999999750001</v>
      </c>
      <c r="AF16" s="16">
        <f t="shared" si="14"/>
        <v>0.70357142874999923</v>
      </c>
      <c r="AG16" s="17">
        <f t="shared" si="15"/>
        <v>2.8259934019995835E-2</v>
      </c>
      <c r="AH16" s="15">
        <v>24.896428571000001</v>
      </c>
      <c r="AI16" s="16">
        <v>25.599999999750001</v>
      </c>
      <c r="AJ16" s="16">
        <f t="shared" si="16"/>
        <v>0.70357142874999923</v>
      </c>
      <c r="AK16" s="17">
        <f t="shared" si="17"/>
        <v>2.8259934019995835E-2</v>
      </c>
    </row>
    <row r="17" spans="1:37" x14ac:dyDescent="0.3">
      <c r="A17" s="1" t="s">
        <v>7</v>
      </c>
      <c r="B17" s="23">
        <v>28</v>
      </c>
      <c r="C17" s="24">
        <v>28</v>
      </c>
      <c r="D17" s="24">
        <f t="shared" si="3"/>
        <v>0</v>
      </c>
      <c r="E17" s="17">
        <f t="shared" si="4"/>
        <v>0</v>
      </c>
      <c r="F17" s="15">
        <v>0.67857142825000005</v>
      </c>
      <c r="G17" s="16">
        <v>0.67857142825000005</v>
      </c>
      <c r="H17" s="16">
        <f t="shared" si="5"/>
        <v>0</v>
      </c>
      <c r="I17" s="17">
        <f t="shared" si="6"/>
        <v>0</v>
      </c>
      <c r="J17" s="76">
        <v>23</v>
      </c>
      <c r="K17" s="77">
        <v>23</v>
      </c>
      <c r="L17" s="77">
        <f t="shared" si="7"/>
        <v>0</v>
      </c>
      <c r="M17" s="50">
        <f t="shared" si="8"/>
        <v>0</v>
      </c>
      <c r="N17" s="156">
        <v>12490.126</v>
      </c>
      <c r="O17" s="157">
        <v>11377.2557734</v>
      </c>
      <c r="P17" s="157">
        <f t="shared" si="9"/>
        <v>-1112.8702266</v>
      </c>
      <c r="Q17" s="17">
        <f t="shared" si="10"/>
        <v>-8.9099999999999999E-2</v>
      </c>
      <c r="R17" s="71">
        <v>4.9906518094100802E-3</v>
      </c>
      <c r="S17" s="72">
        <v>5.4353688473181101E-3</v>
      </c>
      <c r="T17" s="73">
        <f t="shared" si="11"/>
        <v>4.4471703790802987E-4</v>
      </c>
      <c r="U17" s="50">
        <f t="shared" si="12"/>
        <v>8.9110011054968311E-2</v>
      </c>
      <c r="V17" s="15">
        <v>26.890592367984699</v>
      </c>
      <c r="W17" s="16">
        <v>27.027445726842998</v>
      </c>
      <c r="X17" s="16">
        <f t="shared" si="0"/>
        <v>0.13685335885829986</v>
      </c>
      <c r="Y17" s="17">
        <f t="shared" si="1"/>
        <v>5.0892653083103598E-3</v>
      </c>
      <c r="Z17" s="15">
        <v>1.1732876284128799</v>
      </c>
      <c r="AA17" s="16">
        <v>1.1689537266130401</v>
      </c>
      <c r="AB17" s="16">
        <f t="shared" si="13"/>
        <v>-4.3339017998398344E-3</v>
      </c>
      <c r="AC17" s="17">
        <f t="shared" si="2"/>
        <v>-3.6938101918813845E-3</v>
      </c>
      <c r="AD17" s="15">
        <v>26.857142856749999</v>
      </c>
      <c r="AE17" s="16">
        <v>27.335714285249999</v>
      </c>
      <c r="AF17" s="16">
        <f t="shared" si="14"/>
        <v>0.47857142850000045</v>
      </c>
      <c r="AG17" s="17">
        <f t="shared" si="15"/>
        <v>1.781914893377131E-2</v>
      </c>
      <c r="AH17" s="15">
        <v>26.857142856749999</v>
      </c>
      <c r="AI17" s="16">
        <v>27.335714285249999</v>
      </c>
      <c r="AJ17" s="16">
        <f t="shared" si="16"/>
        <v>0.47857142850000045</v>
      </c>
      <c r="AK17" s="17">
        <f t="shared" si="17"/>
        <v>1.781914893377131E-2</v>
      </c>
    </row>
    <row r="18" spans="1:37" x14ac:dyDescent="0.3">
      <c r="A18" s="1" t="s">
        <v>8</v>
      </c>
      <c r="B18" s="23">
        <v>35</v>
      </c>
      <c r="C18" s="24">
        <v>35</v>
      </c>
      <c r="D18" s="24">
        <f t="shared" si="3"/>
        <v>0</v>
      </c>
      <c r="E18" s="17">
        <f t="shared" si="4"/>
        <v>0</v>
      </c>
      <c r="F18" s="15">
        <v>0.68571428540000001</v>
      </c>
      <c r="G18" s="16">
        <v>0.71428571399999996</v>
      </c>
      <c r="H18" s="16">
        <f t="shared" si="5"/>
        <v>2.8571428599999948E-2</v>
      </c>
      <c r="I18" s="17">
        <f t="shared" si="6"/>
        <v>4.1666666727430482E-2</v>
      </c>
      <c r="J18" s="76">
        <v>30</v>
      </c>
      <c r="K18" s="77">
        <v>30</v>
      </c>
      <c r="L18" s="77">
        <f t="shared" si="7"/>
        <v>0</v>
      </c>
      <c r="M18" s="50">
        <f t="shared" si="8"/>
        <v>0</v>
      </c>
      <c r="N18" s="156">
        <v>12490.126</v>
      </c>
      <c r="O18" s="157">
        <v>11377.2557734</v>
      </c>
      <c r="P18" s="157">
        <f t="shared" si="9"/>
        <v>-1112.8702266</v>
      </c>
      <c r="Q18" s="17">
        <f t="shared" si="10"/>
        <v>-8.9099999999999999E-2</v>
      </c>
      <c r="R18" s="71">
        <v>-8.1501048568842222E-4</v>
      </c>
      <c r="S18" s="72">
        <v>-9.9973187064213639E-3</v>
      </c>
      <c r="T18" s="73">
        <f t="shared" si="11"/>
        <v>-9.1823082207329425E-3</v>
      </c>
      <c r="U18" s="50">
        <f t="shared" si="12"/>
        <v>-11.266490900392331</v>
      </c>
      <c r="V18" s="15">
        <v>27.0532965059639</v>
      </c>
      <c r="W18" s="16">
        <v>27.027445726842998</v>
      </c>
      <c r="X18" s="16">
        <f t="shared" si="0"/>
        <v>-2.5850779120901279E-2</v>
      </c>
      <c r="Y18" s="17">
        <f t="shared" si="1"/>
        <v>-9.5555006079212838E-4</v>
      </c>
      <c r="Z18" s="15">
        <v>1.18382380166533</v>
      </c>
      <c r="AA18" s="16">
        <v>1.1689537266130401</v>
      </c>
      <c r="AB18" s="16">
        <f t="shared" si="13"/>
        <v>-1.4870075052289877E-2</v>
      </c>
      <c r="AC18" s="17">
        <f t="shared" si="2"/>
        <v>-1.2561054298259232E-2</v>
      </c>
      <c r="AD18" s="15">
        <v>29.959999999600001</v>
      </c>
      <c r="AE18" s="16">
        <v>29.754285714000002</v>
      </c>
      <c r="AF18" s="16">
        <f t="shared" si="14"/>
        <v>-0.20571428559999916</v>
      </c>
      <c r="AG18" s="17">
        <f t="shared" si="15"/>
        <v>-6.8662979173146083E-3</v>
      </c>
      <c r="AH18" s="15">
        <v>29.959999999600001</v>
      </c>
      <c r="AI18" s="16">
        <v>29.754285714000002</v>
      </c>
      <c r="AJ18" s="16">
        <f t="shared" si="16"/>
        <v>-0.20571428559999916</v>
      </c>
      <c r="AK18" s="17">
        <f t="shared" si="17"/>
        <v>-6.8662979173146083E-3</v>
      </c>
    </row>
    <row r="19" spans="1:37" x14ac:dyDescent="0.3">
      <c r="A19" s="1" t="s">
        <v>9</v>
      </c>
      <c r="B19" s="23">
        <v>28</v>
      </c>
      <c r="C19" s="24">
        <v>28</v>
      </c>
      <c r="D19" s="24">
        <f t="shared" si="3"/>
        <v>0</v>
      </c>
      <c r="E19" s="17">
        <f t="shared" si="4"/>
        <v>0</v>
      </c>
      <c r="F19" s="15">
        <v>0.67857142825000005</v>
      </c>
      <c r="G19" s="16">
        <v>0.67857142825000005</v>
      </c>
      <c r="H19" s="16">
        <f t="shared" si="5"/>
        <v>0</v>
      </c>
      <c r="I19" s="17">
        <f t="shared" si="6"/>
        <v>0</v>
      </c>
      <c r="J19" s="76">
        <v>24</v>
      </c>
      <c r="K19" s="77">
        <v>24</v>
      </c>
      <c r="L19" s="77">
        <f t="shared" si="7"/>
        <v>0</v>
      </c>
      <c r="M19" s="50">
        <f t="shared" si="8"/>
        <v>0</v>
      </c>
      <c r="N19" s="156">
        <v>12944.004999999999</v>
      </c>
      <c r="O19" s="157">
        <v>12370.5855785</v>
      </c>
      <c r="P19" s="157">
        <f t="shared" si="9"/>
        <v>-573.41942149999886</v>
      </c>
      <c r="Q19" s="17">
        <f t="shared" si="10"/>
        <v>-4.4299999999999916E-2</v>
      </c>
      <c r="R19" s="71">
        <v>4.4985056923327526E-3</v>
      </c>
      <c r="S19" s="72">
        <v>2.6891653217617452E-3</v>
      </c>
      <c r="T19" s="73">
        <f t="shared" si="11"/>
        <v>-1.8093403705710075E-3</v>
      </c>
      <c r="U19" s="50">
        <f t="shared" si="12"/>
        <v>-0.40220919885793294</v>
      </c>
      <c r="V19" s="15">
        <v>26.865735211636</v>
      </c>
      <c r="W19" s="16">
        <v>27.027445726842998</v>
      </c>
      <c r="X19" s="16">
        <f t="shared" si="0"/>
        <v>0.1617105152069982</v>
      </c>
      <c r="Y19" s="17">
        <f t="shared" si="1"/>
        <v>6.0192104899834883E-3</v>
      </c>
      <c r="Z19" s="15">
        <v>1.1930491603155</v>
      </c>
      <c r="AA19" s="16">
        <v>1.1689537266130401</v>
      </c>
      <c r="AB19" s="16">
        <f t="shared" si="13"/>
        <v>-2.4095433702459923E-2</v>
      </c>
      <c r="AC19" s="17">
        <f t="shared" si="2"/>
        <v>-2.0196513692770146E-2</v>
      </c>
      <c r="AD19" s="15">
        <v>28.896428571000001</v>
      </c>
      <c r="AE19" s="16">
        <v>32.578571427999997</v>
      </c>
      <c r="AF19" s="16">
        <f t="shared" si="14"/>
        <v>3.6821428569999952</v>
      </c>
      <c r="AG19" s="17">
        <f t="shared" si="15"/>
        <v>0.12742553454150163</v>
      </c>
      <c r="AH19" s="15">
        <v>28.896428571000001</v>
      </c>
      <c r="AI19" s="16">
        <v>32.578571427999997</v>
      </c>
      <c r="AJ19" s="16">
        <f t="shared" si="16"/>
        <v>3.6821428569999952</v>
      </c>
      <c r="AK19" s="17">
        <f t="shared" si="17"/>
        <v>0.12742553454150163</v>
      </c>
    </row>
    <row r="20" spans="1:37" x14ac:dyDescent="0.3">
      <c r="A20" s="1" t="s">
        <v>10</v>
      </c>
      <c r="B20" s="23">
        <v>28</v>
      </c>
      <c r="C20" s="24">
        <v>28</v>
      </c>
      <c r="D20" s="24">
        <f t="shared" si="3"/>
        <v>0</v>
      </c>
      <c r="E20" s="17">
        <f t="shared" si="4"/>
        <v>0</v>
      </c>
      <c r="F20" s="15">
        <v>0.64285714250000003</v>
      </c>
      <c r="G20" s="16">
        <v>0.71428571399999996</v>
      </c>
      <c r="H20" s="16">
        <f t="shared" si="5"/>
        <v>7.1428571499999927E-2</v>
      </c>
      <c r="I20" s="17">
        <f t="shared" si="6"/>
        <v>0.1111111112839505</v>
      </c>
      <c r="J20" s="76">
        <v>23</v>
      </c>
      <c r="K20" s="77">
        <v>23</v>
      </c>
      <c r="L20" s="77">
        <f t="shared" si="7"/>
        <v>0</v>
      </c>
      <c r="M20" s="50">
        <f t="shared" si="8"/>
        <v>0</v>
      </c>
      <c r="N20" s="156">
        <v>12944.004999999999</v>
      </c>
      <c r="O20" s="157">
        <v>12370.5855785</v>
      </c>
      <c r="P20" s="157">
        <f t="shared" si="9"/>
        <v>-573.41942149999886</v>
      </c>
      <c r="Q20" s="17">
        <f t="shared" si="10"/>
        <v>-4.4299999999999916E-2</v>
      </c>
      <c r="R20" s="71">
        <v>1.1025641953288345E-2</v>
      </c>
      <c r="S20" s="72">
        <v>4.1690736094858252E-3</v>
      </c>
      <c r="T20" s="73">
        <f t="shared" si="11"/>
        <v>-6.8565683438025198E-3</v>
      </c>
      <c r="U20" s="50">
        <f t="shared" si="12"/>
        <v>-0.62187475095339739</v>
      </c>
      <c r="V20" s="15">
        <v>26.664863995741001</v>
      </c>
      <c r="W20" s="16">
        <v>27.027445726842998</v>
      </c>
      <c r="X20" s="16">
        <f t="shared" si="0"/>
        <v>0.36258173110199721</v>
      </c>
      <c r="Y20" s="17">
        <f t="shared" si="1"/>
        <v>1.3597734125323495E-2</v>
      </c>
      <c r="Z20" s="15">
        <v>1.1635393696052201</v>
      </c>
      <c r="AA20" s="16">
        <v>1.1689537266130401</v>
      </c>
      <c r="AB20" s="16">
        <f t="shared" si="13"/>
        <v>5.4143570078200032E-3</v>
      </c>
      <c r="AC20" s="17">
        <f t="shared" si="2"/>
        <v>4.6533509301512101E-3</v>
      </c>
      <c r="AD20" s="15">
        <v>30.95714285675</v>
      </c>
      <c r="AE20" s="16">
        <v>30.7749999995</v>
      </c>
      <c r="AF20" s="16">
        <f t="shared" si="14"/>
        <v>-0.18214285724999968</v>
      </c>
      <c r="AG20" s="17">
        <f t="shared" si="15"/>
        <v>-5.8837102019666729E-3</v>
      </c>
      <c r="AH20" s="15">
        <v>30.95714285675</v>
      </c>
      <c r="AI20" s="16">
        <v>30.7749999995</v>
      </c>
      <c r="AJ20" s="16">
        <f t="shared" si="16"/>
        <v>-0.18214285724999968</v>
      </c>
      <c r="AK20" s="17">
        <f t="shared" si="17"/>
        <v>-5.8837102019666729E-3</v>
      </c>
    </row>
    <row r="21" spans="1:37" ht="15" thickBot="1" x14ac:dyDescent="0.35">
      <c r="A21" s="1" t="s">
        <v>11</v>
      </c>
      <c r="B21" s="187">
        <v>39</v>
      </c>
      <c r="C21" s="188">
        <v>41</v>
      </c>
      <c r="D21" s="188">
        <f t="shared" si="3"/>
        <v>2</v>
      </c>
      <c r="E21" s="189">
        <f t="shared" si="4"/>
        <v>5.128205128205128E-2</v>
      </c>
      <c r="F21" s="190">
        <v>0.65194805160000002</v>
      </c>
      <c r="G21" s="147">
        <v>0.60879120840000001</v>
      </c>
      <c r="H21" s="147">
        <f t="shared" si="5"/>
        <v>-4.3156843200000017E-2</v>
      </c>
      <c r="I21" s="189">
        <f t="shared" si="6"/>
        <v>-6.6196751557252478E-2</v>
      </c>
      <c r="J21" s="191">
        <v>32</v>
      </c>
      <c r="K21" s="192">
        <v>34</v>
      </c>
      <c r="L21" s="192">
        <f t="shared" si="7"/>
        <v>2</v>
      </c>
      <c r="M21" s="193">
        <f t="shared" si="8"/>
        <v>6.25E-2</v>
      </c>
      <c r="N21" s="224">
        <v>12944.004999999999</v>
      </c>
      <c r="O21" s="225">
        <v>12370.5855785</v>
      </c>
      <c r="P21" s="225">
        <f t="shared" si="9"/>
        <v>-573.41942149999886</v>
      </c>
      <c r="Q21" s="189">
        <f t="shared" si="10"/>
        <v>-4.4299999999999916E-2</v>
      </c>
      <c r="R21" s="226">
        <v>-1.5395979724353932E-2</v>
      </c>
      <c r="S21" s="227">
        <v>1.0412175583163488E-3</v>
      </c>
      <c r="T21" s="228">
        <f t="shared" si="11"/>
        <v>1.643719728267028E-2</v>
      </c>
      <c r="U21" s="193">
        <f t="shared" si="12"/>
        <v>1.0676291848234454</v>
      </c>
      <c r="V21" s="190">
        <v>26.785490190394601</v>
      </c>
      <c r="W21" s="147">
        <v>27.027445726842998</v>
      </c>
      <c r="X21" s="147">
        <f t="shared" si="0"/>
        <v>0.24195553644839762</v>
      </c>
      <c r="Y21" s="189">
        <f t="shared" si="1"/>
        <v>9.0330822668746227E-3</v>
      </c>
      <c r="Z21" s="190">
        <v>1.1419653381892301</v>
      </c>
      <c r="AA21" s="147">
        <v>1.1689537266130401</v>
      </c>
      <c r="AB21" s="147">
        <f t="shared" si="13"/>
        <v>2.6988388423810017E-2</v>
      </c>
      <c r="AC21" s="189">
        <f t="shared" si="2"/>
        <v>2.3633281607832731E-2</v>
      </c>
      <c r="AD21" s="190">
        <v>28.607532467399999</v>
      </c>
      <c r="AE21" s="147">
        <v>29.833626373000001</v>
      </c>
      <c r="AF21" s="147">
        <f t="shared" si="14"/>
        <v>1.2260939056000026</v>
      </c>
      <c r="AG21" s="189">
        <f t="shared" si="15"/>
        <v>4.2859128343110689E-2</v>
      </c>
      <c r="AH21" s="190">
        <v>28.607532467399999</v>
      </c>
      <c r="AI21" s="147">
        <v>29.833626373000001</v>
      </c>
      <c r="AJ21" s="147">
        <f t="shared" si="16"/>
        <v>1.2260939056000026</v>
      </c>
      <c r="AK21" s="189">
        <f t="shared" si="17"/>
        <v>4.2859128343110689E-2</v>
      </c>
    </row>
    <row r="22" spans="1:37" ht="15" thickBot="1" x14ac:dyDescent="0.35">
      <c r="A22" s="4" t="s">
        <v>15</v>
      </c>
      <c r="B22" s="229">
        <f>SUM(B10:B21)</f>
        <v>365</v>
      </c>
      <c r="C22" s="230">
        <f>SUM(C10:C21)</f>
        <v>366</v>
      </c>
      <c r="D22" s="230">
        <f t="shared" si="3"/>
        <v>1</v>
      </c>
      <c r="E22" s="213">
        <f t="shared" si="4"/>
        <v>2.7397260273972603E-3</v>
      </c>
      <c r="F22" s="201">
        <f>(4*SUM(F10:F11,F13:F14,F16:F17,F19:F20)+5*SUM(F12,F15,F18,F21))/52</f>
        <v>0.69524225744230772</v>
      </c>
      <c r="G22" s="202">
        <f>(4*SUM(G10:G11,G13:G14,G16:G17,G19:G20)+5*SUM(G12,G15,G18,G21))/52</f>
        <v>0.66476472211538451</v>
      </c>
      <c r="H22" s="202">
        <f t="shared" si="5"/>
        <v>-3.0477535326923211E-2</v>
      </c>
      <c r="I22" s="200">
        <f t="shared" si="6"/>
        <v>-4.3837288370596895E-2</v>
      </c>
      <c r="J22" s="203">
        <f>SUM(J10:J21)</f>
        <v>302</v>
      </c>
      <c r="K22" s="204">
        <f>SUM(K10:K21)</f>
        <v>298</v>
      </c>
      <c r="L22" s="204">
        <f t="shared" si="7"/>
        <v>-4</v>
      </c>
      <c r="M22" s="231">
        <f t="shared" si="8"/>
        <v>-1.3245033112582781E-2</v>
      </c>
      <c r="N22" s="232">
        <f>(4*SUM(N10:N11,N13:N14,N16:N17,N19:N20)+5*SUM(N12,N15,N18,N21))/52</f>
        <v>12314.233</v>
      </c>
      <c r="O22" s="233">
        <f>(4*SUM(O10:O11,O13:O14,O16:O17,O19:O20)+5*SUM(O12,O15,O18,O21))/52</f>
        <v>11230.730811522582</v>
      </c>
      <c r="P22" s="233">
        <f t="shared" si="9"/>
        <v>-1083.5021884774178</v>
      </c>
      <c r="Q22" s="213">
        <f t="shared" si="10"/>
        <v>-8.7987793350785048E-2</v>
      </c>
      <c r="R22" s="234">
        <f>PRODUCT((1+R10),(1+R11),(1+R12),(1+R13),(1+R14),(1+R15),(1+R16),(1+R17),(1+R18),(1+R19),(1+R20),(1+R21))-1</f>
        <v>1.4533489052267701E-2</v>
      </c>
      <c r="S22" s="235">
        <f>PRODUCT((1+S10),(1+S11),(1+S12),(1+S13),(1+S14),(1+S15),(1+S16),(1+S17),(1+S18),(1+S19),(1+S20),(1+S21))-1</f>
        <v>1.246018251245018E-2</v>
      </c>
      <c r="T22" s="236">
        <f t="shared" si="11"/>
        <v>-2.073306539817521E-3</v>
      </c>
      <c r="U22" s="231">
        <f t="shared" si="12"/>
        <v>-0.14265717835277944</v>
      </c>
      <c r="V22" s="201">
        <f>(4*SUM(V10:V11,V13:V14,V16:V17,V19:V20)+5*SUM(V12,V15,V18,V21))/52</f>
        <v>26.530056055865501</v>
      </c>
      <c r="W22" s="202">
        <f>(4*SUM(W10:W11,W13:W14,W16:W17,W19:W20)+5*SUM(W12,W15,W18,W21))/52</f>
        <v>27.034000970074995</v>
      </c>
      <c r="X22" s="202">
        <f t="shared" si="0"/>
        <v>0.5039449142094945</v>
      </c>
      <c r="Y22" s="213">
        <f t="shared" si="1"/>
        <v>1.8995244983588261E-2</v>
      </c>
      <c r="Z22" s="201">
        <f>(4*SUM(Z10:Z11,Z13:Z14,Z16:Z17,Z19:Z20)+5*SUM(Z12,Z15,Z18,Z21))/52</f>
        <v>1.1578654497790808</v>
      </c>
      <c r="AA22" s="202">
        <f>(4*SUM(AA10:AA11,AA13:AA14,AA16:AA17,AA19:AA20)+5*SUM(AA12,AA15,AA18,AA21))/52</f>
        <v>1.1692791274826886</v>
      </c>
      <c r="AB22" s="202">
        <f t="shared" si="13"/>
        <v>1.1413677703607794E-2</v>
      </c>
      <c r="AC22" s="213">
        <f t="shared" si="2"/>
        <v>9.8575164374975592E-3</v>
      </c>
      <c r="AD22" s="201">
        <f>(4*SUM(AD10:AD11,AD13:AD14,AD16:AD17,AD19:AD20)+5*SUM(AD12,AD15,AD18,AD21))/52</f>
        <v>27.939048451173075</v>
      </c>
      <c r="AE22" s="202">
        <f>(4*SUM(AE10:AE11,AE13:AE14,AE16:AE17,AE19:AE20)+5*SUM(AE12,AE15,AE18,AE21))/52</f>
        <v>28.461017187538463</v>
      </c>
      <c r="AF22" s="202">
        <f t="shared" si="14"/>
        <v>0.52196873636538754</v>
      </c>
      <c r="AG22" s="213">
        <f t="shared" si="15"/>
        <v>1.8682409219397438E-2</v>
      </c>
      <c r="AH22" s="201">
        <f>(4*SUM(AH10:AH11,AH13:AH14,AH16:AH17,AH19:AH20)+5*SUM(AH12,AH15,AH18,AH21))/52</f>
        <v>27.939048451173075</v>
      </c>
      <c r="AI22" s="202">
        <f>(4*SUM(AI10:AI11,AI13:AI14,AI16:AI17,AI19:AI20)+5*SUM(AI12,AI15,AI18,AI21))/52</f>
        <v>28.461017187538463</v>
      </c>
      <c r="AJ22" s="202">
        <f t="shared" si="16"/>
        <v>0.52196873636538754</v>
      </c>
      <c r="AK22" s="213">
        <f t="shared" si="17"/>
        <v>1.8682409219397438E-2</v>
      </c>
    </row>
    <row r="23" spans="1:37" ht="15.9" customHeight="1" thickBot="1" x14ac:dyDescent="0.35">
      <c r="A23" s="39" t="str">
        <f>"Bolivia - "&amp;'Bolivia DT'!A22:J22</f>
        <v>Bolivia - w43</v>
      </c>
      <c r="B23" s="33"/>
      <c r="C23" s="33"/>
      <c r="N23" s="29"/>
      <c r="O23" s="29"/>
    </row>
    <row r="24" spans="1:37" ht="15" thickBot="1" x14ac:dyDescent="0.35">
      <c r="A24" s="30"/>
      <c r="B24" s="313" t="s">
        <v>21</v>
      </c>
      <c r="C24" s="313"/>
      <c r="D24" s="313"/>
      <c r="E24" s="313"/>
      <c r="F24" s="313"/>
      <c r="G24" s="313"/>
      <c r="H24" s="313"/>
      <c r="I24" s="313"/>
      <c r="J24" s="313"/>
      <c r="K24" s="313"/>
      <c r="L24" s="313"/>
      <c r="M24" s="314"/>
      <c r="N24" s="312" t="s">
        <v>22</v>
      </c>
      <c r="O24" s="313"/>
      <c r="P24" s="313"/>
      <c r="Q24" s="314"/>
      <c r="R24" s="312" t="s">
        <v>41</v>
      </c>
      <c r="S24" s="313"/>
      <c r="T24" s="313"/>
      <c r="U24" s="314"/>
      <c r="V24" s="312" t="s">
        <v>23</v>
      </c>
      <c r="W24" s="313"/>
      <c r="X24" s="313"/>
      <c r="Y24" s="314"/>
      <c r="Z24" s="312" t="s">
        <v>24</v>
      </c>
      <c r="AA24" s="313"/>
      <c r="AB24" s="313"/>
      <c r="AC24" s="314"/>
      <c r="AD24" s="312" t="s">
        <v>25</v>
      </c>
      <c r="AE24" s="313"/>
      <c r="AF24" s="313"/>
      <c r="AG24" s="314"/>
      <c r="AH24" s="312" t="s">
        <v>61</v>
      </c>
      <c r="AI24" s="313"/>
      <c r="AJ24" s="313"/>
      <c r="AK24" s="314"/>
    </row>
    <row r="25" spans="1:37" ht="15" thickBot="1" x14ac:dyDescent="0.35">
      <c r="A25" s="2"/>
      <c r="B25" s="312" t="s">
        <v>89</v>
      </c>
      <c r="C25" s="313"/>
      <c r="D25" s="313"/>
      <c r="E25" s="314"/>
      <c r="F25" s="312" t="s">
        <v>81</v>
      </c>
      <c r="G25" s="313"/>
      <c r="H25" s="313"/>
      <c r="I25" s="314"/>
      <c r="J25" s="313" t="s">
        <v>57</v>
      </c>
      <c r="K25" s="313"/>
      <c r="L25" s="313"/>
      <c r="M25" s="314"/>
      <c r="N25" s="312" t="s">
        <v>82</v>
      </c>
      <c r="O25" s="313"/>
      <c r="P25" s="313"/>
      <c r="Q25" s="314"/>
      <c r="R25" s="312" t="s">
        <v>35</v>
      </c>
      <c r="S25" s="313"/>
      <c r="T25" s="313"/>
      <c r="U25" s="314"/>
      <c r="V25" s="312" t="s">
        <v>84</v>
      </c>
      <c r="W25" s="313"/>
      <c r="X25" s="313"/>
      <c r="Y25" s="314"/>
      <c r="Z25" s="312" t="s">
        <v>73</v>
      </c>
      <c r="AA25" s="313"/>
      <c r="AB25" s="313"/>
      <c r="AC25" s="314"/>
      <c r="AD25" s="312" t="s">
        <v>16</v>
      </c>
      <c r="AE25" s="313"/>
      <c r="AF25" s="313"/>
      <c r="AG25" s="314"/>
      <c r="AH25" s="312" t="s">
        <v>87</v>
      </c>
      <c r="AI25" s="313"/>
      <c r="AJ25" s="313"/>
      <c r="AK25" s="314"/>
    </row>
    <row r="26" spans="1:37" x14ac:dyDescent="0.3">
      <c r="A26" s="1"/>
      <c r="B26" s="12">
        <v>2020</v>
      </c>
      <c r="C26" s="13">
        <v>2021</v>
      </c>
      <c r="D26" s="13" t="s">
        <v>12</v>
      </c>
      <c r="E26" s="14" t="s">
        <v>13</v>
      </c>
      <c r="F26" s="12">
        <v>2020</v>
      </c>
      <c r="G26" s="13">
        <v>2021</v>
      </c>
      <c r="H26" s="13" t="s">
        <v>12</v>
      </c>
      <c r="I26" s="14" t="s">
        <v>13</v>
      </c>
      <c r="J26" s="44">
        <v>2020</v>
      </c>
      <c r="K26" s="45">
        <v>2021</v>
      </c>
      <c r="L26" s="45" t="s">
        <v>12</v>
      </c>
      <c r="M26" s="46" t="s">
        <v>13</v>
      </c>
      <c r="N26" s="12">
        <v>2020</v>
      </c>
      <c r="O26" s="13">
        <v>2021</v>
      </c>
      <c r="P26" s="13" t="s">
        <v>12</v>
      </c>
      <c r="Q26" s="14" t="s">
        <v>13</v>
      </c>
      <c r="R26" s="44">
        <v>2020</v>
      </c>
      <c r="S26" s="45">
        <v>2021</v>
      </c>
      <c r="T26" s="45" t="s">
        <v>12</v>
      </c>
      <c r="U26" s="46" t="s">
        <v>13</v>
      </c>
      <c r="V26" s="12">
        <v>2020</v>
      </c>
      <c r="W26" s="13">
        <v>2021</v>
      </c>
      <c r="X26" s="13" t="s">
        <v>12</v>
      </c>
      <c r="Y26" s="14" t="s">
        <v>13</v>
      </c>
      <c r="Z26" s="12">
        <v>2020</v>
      </c>
      <c r="AA26" s="13">
        <v>2021</v>
      </c>
      <c r="AB26" s="13" t="s">
        <v>12</v>
      </c>
      <c r="AC26" s="14" t="s">
        <v>13</v>
      </c>
      <c r="AD26" s="12">
        <v>2020</v>
      </c>
      <c r="AE26" s="13">
        <v>2021</v>
      </c>
      <c r="AF26" s="13" t="s">
        <v>12</v>
      </c>
      <c r="AG26" s="14" t="s">
        <v>13</v>
      </c>
      <c r="AH26" s="12">
        <v>2020</v>
      </c>
      <c r="AI26" s="13">
        <v>2021</v>
      </c>
      <c r="AJ26" s="13" t="s">
        <v>12</v>
      </c>
      <c r="AK26" s="14" t="s">
        <v>13</v>
      </c>
    </row>
    <row r="27" spans="1:37" x14ac:dyDescent="0.3">
      <c r="A27" s="1" t="s">
        <v>0</v>
      </c>
      <c r="B27" s="23">
        <v>25</v>
      </c>
      <c r="C27" s="24">
        <v>24</v>
      </c>
      <c r="D27" s="24">
        <f>C27-B27</f>
        <v>-1</v>
      </c>
      <c r="E27" s="17">
        <f>(C27-B27)/ABS(B27)</f>
        <v>-0.04</v>
      </c>
      <c r="F27" s="15">
        <v>0.83035714275000005</v>
      </c>
      <c r="G27" s="16">
        <v>0.70238095199999995</v>
      </c>
      <c r="H27" s="16">
        <f>G27-F27</f>
        <v>-0.12797619075000011</v>
      </c>
      <c r="I27" s="17">
        <f>(G27-F27)/F27</f>
        <v>-0.15412186414891907</v>
      </c>
      <c r="J27" s="76">
        <v>20</v>
      </c>
      <c r="K27" s="77">
        <v>19</v>
      </c>
      <c r="L27" s="77">
        <f>K27-J27</f>
        <v>-1</v>
      </c>
      <c r="M27" s="50">
        <f>(K27-J27)/ABS(J27)</f>
        <v>-0.05</v>
      </c>
      <c r="N27" s="156">
        <v>11316.218000000001</v>
      </c>
      <c r="O27" s="157">
        <v>11379.576999999999</v>
      </c>
      <c r="P27" s="157">
        <f>O27-N27</f>
        <v>63.358999999998559</v>
      </c>
      <c r="Q27" s="17">
        <f>(O27-N27)/ABS(N27)</f>
        <v>5.5989554107210163E-3</v>
      </c>
      <c r="R27" s="71">
        <v>2.2627512184811849E-3</v>
      </c>
      <c r="S27" s="72">
        <v>-2.9692386900392274E-4</v>
      </c>
      <c r="T27" s="73">
        <f>S27-R27</f>
        <v>-2.5596750874851077E-3</v>
      </c>
      <c r="U27" s="50">
        <f>(S27-R27)/ABS(R27)</f>
        <v>-1.1312224987788209</v>
      </c>
      <c r="V27" s="15">
        <v>25.803042551503601</v>
      </c>
      <c r="W27" s="16">
        <v>26.8368182431003</v>
      </c>
      <c r="X27" s="16">
        <f t="shared" ref="X27:X38" si="18">W27-V27</f>
        <v>1.0337756915966985</v>
      </c>
      <c r="Y27" s="17">
        <f t="shared" ref="Y27:Y38" si="19">(W27-V27)/ABS(V27)</f>
        <v>4.0064100562298151E-2</v>
      </c>
      <c r="Z27" s="15">
        <v>1.13866953230781</v>
      </c>
      <c r="AA27" s="16">
        <v>1.1639448250271101</v>
      </c>
      <c r="AB27" s="16">
        <f>AA27-Z27</f>
        <v>2.5275292719300069E-2</v>
      </c>
      <c r="AC27" s="17">
        <f t="shared" ref="AC27:AC38" si="20">(AA27-Z27)/ABS(Z27)</f>
        <v>2.2197215260579699E-2</v>
      </c>
      <c r="AD27" s="15">
        <v>29.233928571</v>
      </c>
      <c r="AE27" s="16">
        <v>29.065476189999998</v>
      </c>
      <c r="AF27" s="16">
        <f>AE27-AD27</f>
        <v>-0.16845238100000159</v>
      </c>
      <c r="AG27" s="17">
        <f>(AE27-AD27)/ABS(AD27)</f>
        <v>-5.7622218167114915E-3</v>
      </c>
      <c r="AH27" s="15">
        <v>29.233928571</v>
      </c>
      <c r="AI27" s="16">
        <v>29.065476189999998</v>
      </c>
      <c r="AJ27" s="16">
        <f>AI27-AH27</f>
        <v>-0.16845238100000159</v>
      </c>
      <c r="AK27" s="17">
        <f>(AI27-AH27)/ABS(AH27)</f>
        <v>-5.7622218167114915E-3</v>
      </c>
    </row>
    <row r="28" spans="1:37" x14ac:dyDescent="0.3">
      <c r="A28" s="1" t="s">
        <v>1</v>
      </c>
      <c r="B28" s="23">
        <v>28</v>
      </c>
      <c r="C28" s="24">
        <v>28</v>
      </c>
      <c r="D28" s="24">
        <f t="shared" ref="D28:D38" si="21">C28-B28</f>
        <v>0</v>
      </c>
      <c r="E28" s="17">
        <f t="shared" ref="E28:E38" si="22">(C28-B28)/ABS(B28)</f>
        <v>0</v>
      </c>
      <c r="F28" s="15">
        <v>0.85714285700000004</v>
      </c>
      <c r="G28" s="16">
        <v>0.71428571399999996</v>
      </c>
      <c r="H28" s="16">
        <f t="shared" ref="H28:H38" si="23">G28-F28</f>
        <v>-0.14285714300000008</v>
      </c>
      <c r="I28" s="17">
        <f t="shared" ref="I28:I38" si="24">(G28-F28)/F28</f>
        <v>-0.1666666668611112</v>
      </c>
      <c r="J28" s="76">
        <v>24</v>
      </c>
      <c r="K28" s="77">
        <v>24</v>
      </c>
      <c r="L28" s="77">
        <f t="shared" ref="L28:L38" si="25">K28-J28</f>
        <v>0</v>
      </c>
      <c r="M28" s="50">
        <f t="shared" ref="M28:M38" si="26">(K28-J28)/ABS(J28)</f>
        <v>0</v>
      </c>
      <c r="N28" s="156">
        <v>11316.218000000001</v>
      </c>
      <c r="O28" s="157">
        <v>11379.576999999999</v>
      </c>
      <c r="P28" s="157">
        <f t="shared" ref="P28:P38" si="27">O28-N28</f>
        <v>63.358999999998559</v>
      </c>
      <c r="Q28" s="17">
        <f t="shared" ref="Q28:Q38" si="28">(O28-N28)/ABS(N28)</f>
        <v>5.5989554107210163E-3</v>
      </c>
      <c r="R28" s="71">
        <v>-1.5241018094483971E-3</v>
      </c>
      <c r="S28" s="72">
        <v>-6.2568995867600297E-4</v>
      </c>
      <c r="T28" s="73">
        <f t="shared" ref="T28:T38" si="29">S28-R28</f>
        <v>8.9841185077239416E-4</v>
      </c>
      <c r="U28" s="50">
        <f t="shared" ref="U28:U38" si="30">(S28-R28)/ABS(R28)</f>
        <v>0.58946970943991417</v>
      </c>
      <c r="V28" s="15">
        <v>25.882796540485199</v>
      </c>
      <c r="W28" s="16">
        <v>27.303291372601699</v>
      </c>
      <c r="X28" s="16">
        <f t="shared" si="18"/>
        <v>1.4204948321164999</v>
      </c>
      <c r="Y28" s="17">
        <f t="shared" si="19"/>
        <v>5.4881814254290437E-2</v>
      </c>
      <c r="Z28" s="15">
        <v>1.13701120136947</v>
      </c>
      <c r="AA28" s="16">
        <v>1.1781928395043999</v>
      </c>
      <c r="AB28" s="16">
        <f t="shared" ref="AB28:AB38" si="31">AA28-Z28</f>
        <v>4.1181638134929921E-2</v>
      </c>
      <c r="AC28" s="17">
        <f t="shared" si="20"/>
        <v>3.6219201785636597E-2</v>
      </c>
      <c r="AD28" s="15">
        <v>28.560714285</v>
      </c>
      <c r="AE28" s="16">
        <v>28.47857142825</v>
      </c>
      <c r="AF28" s="16">
        <f t="shared" ref="AF28:AF38" si="32">AE28-AD28</f>
        <v>-8.2142856749999993E-2</v>
      </c>
      <c r="AG28" s="17">
        <f t="shared" ref="AG28:AG38" si="33">(AE28-AD28)/ABS(AD28)</f>
        <v>-2.8760785157653139E-3</v>
      </c>
      <c r="AH28" s="15">
        <v>28.560714285</v>
      </c>
      <c r="AI28" s="16">
        <v>28.47857142825</v>
      </c>
      <c r="AJ28" s="16">
        <f t="shared" ref="AJ28:AJ38" si="34">AI28-AH28</f>
        <v>-8.2142856749999993E-2</v>
      </c>
      <c r="AK28" s="17">
        <f t="shared" ref="AK28:AK38" si="35">(AI28-AH28)/ABS(AH28)</f>
        <v>-2.8760785157653139E-3</v>
      </c>
    </row>
    <row r="29" spans="1:37" x14ac:dyDescent="0.3">
      <c r="A29" s="1" t="s">
        <v>2</v>
      </c>
      <c r="B29" s="23">
        <v>35</v>
      </c>
      <c r="C29" s="24">
        <v>35</v>
      </c>
      <c r="D29" s="24">
        <f t="shared" si="21"/>
        <v>0</v>
      </c>
      <c r="E29" s="17">
        <f t="shared" si="22"/>
        <v>0</v>
      </c>
      <c r="F29" s="15">
        <v>0.77142857119999997</v>
      </c>
      <c r="G29" s="16">
        <v>0.59999999959999994</v>
      </c>
      <c r="H29" s="16">
        <f t="shared" si="23"/>
        <v>-0.17142857160000002</v>
      </c>
      <c r="I29" s="17">
        <f t="shared" si="24"/>
        <v>-0.22222222251028811</v>
      </c>
      <c r="J29" s="76">
        <v>28</v>
      </c>
      <c r="K29" s="77">
        <v>28</v>
      </c>
      <c r="L29" s="77">
        <f t="shared" si="25"/>
        <v>0</v>
      </c>
      <c r="M29" s="50">
        <f t="shared" si="26"/>
        <v>0</v>
      </c>
      <c r="N29" s="156">
        <v>11316.218000000001</v>
      </c>
      <c r="O29" s="157">
        <v>11379.576999999999</v>
      </c>
      <c r="P29" s="157">
        <f t="shared" si="27"/>
        <v>63.358999999998559</v>
      </c>
      <c r="Q29" s="17">
        <f t="shared" si="28"/>
        <v>5.5989554107210163E-3</v>
      </c>
      <c r="R29" s="71">
        <v>-1.703758784240561E-4</v>
      </c>
      <c r="S29" s="72">
        <v>1.156295260129811E-3</v>
      </c>
      <c r="T29" s="73">
        <f t="shared" si="29"/>
        <v>1.3266711385538671E-3</v>
      </c>
      <c r="U29" s="50">
        <f t="shared" si="30"/>
        <v>7.7867310256904814</v>
      </c>
      <c r="V29" s="15">
        <v>26.145372579667701</v>
      </c>
      <c r="W29" s="16">
        <v>27.027445726842998</v>
      </c>
      <c r="X29" s="16">
        <f t="shared" si="18"/>
        <v>0.88207314717529783</v>
      </c>
      <c r="Y29" s="17">
        <f t="shared" si="19"/>
        <v>3.3737256735872787E-2</v>
      </c>
      <c r="Z29" s="15">
        <v>1.14457502330639</v>
      </c>
      <c r="AA29" s="16">
        <v>1.1689537266130401</v>
      </c>
      <c r="AB29" s="16">
        <f t="shared" si="31"/>
        <v>2.437870330665004E-2</v>
      </c>
      <c r="AC29" s="17">
        <f t="shared" si="20"/>
        <v>2.1299349374430766E-2</v>
      </c>
      <c r="AD29" s="15">
        <v>27.5199999996</v>
      </c>
      <c r="AE29" s="16">
        <v>28.777142856800001</v>
      </c>
      <c r="AF29" s="16">
        <f t="shared" si="32"/>
        <v>1.2571428572000016</v>
      </c>
      <c r="AG29" s="17">
        <f t="shared" si="33"/>
        <v>4.5681063125664029E-2</v>
      </c>
      <c r="AH29" s="15">
        <v>27.5199999996</v>
      </c>
      <c r="AI29" s="16">
        <v>28.777142856800001</v>
      </c>
      <c r="AJ29" s="16">
        <f t="shared" si="34"/>
        <v>1.2571428572000016</v>
      </c>
      <c r="AK29" s="17">
        <f t="shared" si="35"/>
        <v>4.5681063125664029E-2</v>
      </c>
    </row>
    <row r="30" spans="1:37" x14ac:dyDescent="0.3">
      <c r="A30" s="1" t="s">
        <v>3</v>
      </c>
      <c r="B30" s="23">
        <v>28</v>
      </c>
      <c r="C30" s="24">
        <v>28</v>
      </c>
      <c r="D30" s="24">
        <f t="shared" si="21"/>
        <v>0</v>
      </c>
      <c r="E30" s="17">
        <f t="shared" si="22"/>
        <v>0</v>
      </c>
      <c r="F30" s="15">
        <v>0.67857142825000005</v>
      </c>
      <c r="G30" s="16">
        <v>0.60714285675000002</v>
      </c>
      <c r="H30" s="16">
        <f t="shared" si="23"/>
        <v>-7.1428571500000038E-2</v>
      </c>
      <c r="I30" s="17">
        <f t="shared" si="24"/>
        <v>-0.10526315804986154</v>
      </c>
      <c r="J30" s="76">
        <v>23</v>
      </c>
      <c r="K30" s="77">
        <v>23</v>
      </c>
      <c r="L30" s="77">
        <f t="shared" si="25"/>
        <v>0</v>
      </c>
      <c r="M30" s="50">
        <f t="shared" si="26"/>
        <v>0</v>
      </c>
      <c r="N30" s="156">
        <v>12506.583000000001</v>
      </c>
      <c r="O30" s="157">
        <v>9795.5048941903297</v>
      </c>
      <c r="P30" s="157">
        <f t="shared" si="27"/>
        <v>-2711.0781058096709</v>
      </c>
      <c r="Q30" s="17">
        <f t="shared" si="28"/>
        <v>-0.2167720876125534</v>
      </c>
      <c r="R30" s="71">
        <v>1.4016510059617904E-3</v>
      </c>
      <c r="S30" s="72">
        <v>4.1652824304117021E-3</v>
      </c>
      <c r="T30" s="73">
        <f t="shared" si="29"/>
        <v>2.7636314244499117E-3</v>
      </c>
      <c r="U30" s="50">
        <f t="shared" si="30"/>
        <v>1.9716972432474746</v>
      </c>
      <c r="V30" s="15">
        <v>26.381530391938</v>
      </c>
      <c r="W30" s="16">
        <v>27.027445726842998</v>
      </c>
      <c r="X30" s="16">
        <f t="shared" si="18"/>
        <v>0.64591533490499842</v>
      </c>
      <c r="Y30" s="17">
        <f t="shared" si="19"/>
        <v>2.4483618854135369E-2</v>
      </c>
      <c r="Z30" s="15">
        <v>1.1572695421717001</v>
      </c>
      <c r="AA30" s="16">
        <v>1.1689537266130401</v>
      </c>
      <c r="AB30" s="16">
        <f t="shared" si="31"/>
        <v>1.1684184441340006E-2</v>
      </c>
      <c r="AC30" s="17">
        <f t="shared" si="20"/>
        <v>1.0096337988308056E-2</v>
      </c>
      <c r="AD30" s="15">
        <v>27.703571428250001</v>
      </c>
      <c r="AE30" s="16">
        <v>27.192857142499999</v>
      </c>
      <c r="AF30" s="16">
        <f t="shared" si="32"/>
        <v>-0.51071428575000155</v>
      </c>
      <c r="AG30" s="17">
        <f t="shared" si="33"/>
        <v>-1.8434961971336802E-2</v>
      </c>
      <c r="AH30" s="15">
        <v>27.703571428250001</v>
      </c>
      <c r="AI30" s="16">
        <v>27.192857142499999</v>
      </c>
      <c r="AJ30" s="16">
        <f t="shared" si="34"/>
        <v>-0.51071428575000155</v>
      </c>
      <c r="AK30" s="17">
        <f t="shared" si="35"/>
        <v>-1.8434961971336802E-2</v>
      </c>
    </row>
    <row r="31" spans="1:37" x14ac:dyDescent="0.3">
      <c r="A31" s="1" t="s">
        <v>4</v>
      </c>
      <c r="B31" s="23">
        <v>28</v>
      </c>
      <c r="C31" s="24">
        <v>28</v>
      </c>
      <c r="D31" s="24">
        <f t="shared" si="21"/>
        <v>0</v>
      </c>
      <c r="E31" s="17">
        <f t="shared" si="22"/>
        <v>0</v>
      </c>
      <c r="F31" s="15">
        <v>0.60714285675000002</v>
      </c>
      <c r="G31" s="16">
        <v>0.67857142825000005</v>
      </c>
      <c r="H31" s="16">
        <f t="shared" si="23"/>
        <v>7.1428571500000038E-2</v>
      </c>
      <c r="I31" s="17">
        <f t="shared" si="24"/>
        <v>0.1176470590173011</v>
      </c>
      <c r="J31" s="76">
        <v>23</v>
      </c>
      <c r="K31" s="77">
        <v>23</v>
      </c>
      <c r="L31" s="77">
        <f t="shared" si="25"/>
        <v>0</v>
      </c>
      <c r="M31" s="50">
        <f t="shared" si="26"/>
        <v>0</v>
      </c>
      <c r="N31" s="156">
        <v>12506.583000000001</v>
      </c>
      <c r="O31" s="157">
        <v>9795.5048941903297</v>
      </c>
      <c r="P31" s="157">
        <f t="shared" si="27"/>
        <v>-2711.0781058096709</v>
      </c>
      <c r="Q31" s="17">
        <f t="shared" si="28"/>
        <v>-0.2167720876125534</v>
      </c>
      <c r="R31" s="71">
        <v>4.5557053299622998E-3</v>
      </c>
      <c r="S31" s="72">
        <v>-2.4494293675572551E-4</v>
      </c>
      <c r="T31" s="73">
        <f t="shared" si="29"/>
        <v>-4.8006482667180255E-3</v>
      </c>
      <c r="U31" s="50">
        <f t="shared" si="30"/>
        <v>-1.0537661940391023</v>
      </c>
      <c r="V31" s="15">
        <v>26.3767531326327</v>
      </c>
      <c r="W31" s="16">
        <v>27.027445726842998</v>
      </c>
      <c r="X31" s="16">
        <f t="shared" si="18"/>
        <v>0.65069259421029813</v>
      </c>
      <c r="Y31" s="17">
        <f t="shared" si="19"/>
        <v>2.4669169512197334E-2</v>
      </c>
      <c r="Z31" s="15">
        <v>1.14542228011136</v>
      </c>
      <c r="AA31" s="16">
        <v>1.1689537266130401</v>
      </c>
      <c r="AB31" s="16">
        <f t="shared" si="31"/>
        <v>2.3531446501680042E-2</v>
      </c>
      <c r="AC31" s="17">
        <f t="shared" si="20"/>
        <v>2.054390499492665E-2</v>
      </c>
      <c r="AD31" s="15">
        <v>25.47857142825</v>
      </c>
      <c r="AE31" s="16">
        <v>26.339285713999999</v>
      </c>
      <c r="AF31" s="16">
        <f t="shared" si="32"/>
        <v>0.86071428574999942</v>
      </c>
      <c r="AG31" s="17">
        <f t="shared" si="33"/>
        <v>3.3781889544861256E-2</v>
      </c>
      <c r="AH31" s="15">
        <v>25.47857142825</v>
      </c>
      <c r="AI31" s="16">
        <v>26.339285713999999</v>
      </c>
      <c r="AJ31" s="16">
        <f t="shared" si="34"/>
        <v>0.86071428574999942</v>
      </c>
      <c r="AK31" s="17">
        <f t="shared" si="35"/>
        <v>3.3781889544861256E-2</v>
      </c>
    </row>
    <row r="32" spans="1:37" x14ac:dyDescent="0.3">
      <c r="A32" s="1" t="s">
        <v>5</v>
      </c>
      <c r="B32" s="23">
        <v>35</v>
      </c>
      <c r="C32" s="24">
        <v>35</v>
      </c>
      <c r="D32" s="24">
        <f t="shared" si="21"/>
        <v>0</v>
      </c>
      <c r="E32" s="17">
        <f t="shared" si="22"/>
        <v>0</v>
      </c>
      <c r="F32" s="15">
        <v>0.6285714282</v>
      </c>
      <c r="G32" s="16">
        <v>0.65714285679999995</v>
      </c>
      <c r="H32" s="16">
        <f t="shared" si="23"/>
        <v>2.8571428599999948E-2</v>
      </c>
      <c r="I32" s="17">
        <f t="shared" si="24"/>
        <v>4.5454545526859423E-2</v>
      </c>
      <c r="J32" s="76">
        <v>28</v>
      </c>
      <c r="K32" s="77">
        <v>24</v>
      </c>
      <c r="L32" s="77">
        <f t="shared" si="25"/>
        <v>-4</v>
      </c>
      <c r="M32" s="50">
        <f t="shared" si="26"/>
        <v>-0.14285714285714285</v>
      </c>
      <c r="N32" s="156">
        <v>12506.583000000001</v>
      </c>
      <c r="O32" s="157">
        <v>9795.5048941903297</v>
      </c>
      <c r="P32" s="157">
        <f t="shared" si="27"/>
        <v>-2711.0781058096709</v>
      </c>
      <c r="Q32" s="17">
        <f t="shared" si="28"/>
        <v>-0.2167720876125534</v>
      </c>
      <c r="R32" s="71">
        <v>1.5589407761694386E-3</v>
      </c>
      <c r="S32" s="72">
        <v>3.6181510886952317E-3</v>
      </c>
      <c r="T32" s="73">
        <f t="shared" si="29"/>
        <v>2.0592103125257931E-3</v>
      </c>
      <c r="U32" s="50">
        <f t="shared" si="30"/>
        <v>1.3209034903722225</v>
      </c>
      <c r="V32" s="15">
        <v>26.804885552949099</v>
      </c>
      <c r="W32" s="16">
        <v>27.027445726842998</v>
      </c>
      <c r="X32" s="16">
        <f t="shared" si="18"/>
        <v>0.22256017389389982</v>
      </c>
      <c r="Y32" s="17">
        <f t="shared" si="19"/>
        <v>8.3029704959666772E-3</v>
      </c>
      <c r="Z32" s="15">
        <v>1.16380594033589</v>
      </c>
      <c r="AA32" s="16">
        <v>1.1689537266130401</v>
      </c>
      <c r="AB32" s="16">
        <f t="shared" si="31"/>
        <v>5.1477862771500682E-3</v>
      </c>
      <c r="AC32" s="17">
        <f t="shared" si="20"/>
        <v>4.423234234106373E-3</v>
      </c>
      <c r="AD32" s="15">
        <v>26.411428571199998</v>
      </c>
      <c r="AE32" s="16">
        <v>25.737142856799998</v>
      </c>
      <c r="AF32" s="16">
        <f t="shared" si="32"/>
        <v>-0.67428571439999985</v>
      </c>
      <c r="AG32" s="17">
        <f t="shared" si="33"/>
        <v>-2.5530073565776978E-2</v>
      </c>
      <c r="AH32" s="15">
        <v>26.411428571199998</v>
      </c>
      <c r="AI32" s="16">
        <v>25.737142856799998</v>
      </c>
      <c r="AJ32" s="16">
        <f t="shared" si="34"/>
        <v>-0.67428571439999985</v>
      </c>
      <c r="AK32" s="17">
        <f t="shared" si="35"/>
        <v>-2.5530073565776978E-2</v>
      </c>
    </row>
    <row r="33" spans="1:37" x14ac:dyDescent="0.3">
      <c r="A33" s="1" t="s">
        <v>6</v>
      </c>
      <c r="B33" s="23">
        <v>28</v>
      </c>
      <c r="C33" s="24">
        <v>28</v>
      </c>
      <c r="D33" s="24">
        <f t="shared" si="21"/>
        <v>0</v>
      </c>
      <c r="E33" s="17">
        <f t="shared" si="22"/>
        <v>0</v>
      </c>
      <c r="F33" s="15">
        <v>0.64285714250000003</v>
      </c>
      <c r="G33" s="16">
        <v>0.64285714250000003</v>
      </c>
      <c r="H33" s="16">
        <f t="shared" si="23"/>
        <v>0</v>
      </c>
      <c r="I33" s="17">
        <f t="shared" si="24"/>
        <v>0</v>
      </c>
      <c r="J33" s="76">
        <v>24</v>
      </c>
      <c r="K33" s="77">
        <v>23</v>
      </c>
      <c r="L33" s="77">
        <f t="shared" si="25"/>
        <v>-1</v>
      </c>
      <c r="M33" s="50">
        <f t="shared" si="26"/>
        <v>-4.1666666666666664E-2</v>
      </c>
      <c r="N33" s="156">
        <v>12490.126</v>
      </c>
      <c r="O33" s="157">
        <v>11377.2557734</v>
      </c>
      <c r="P33" s="157">
        <f t="shared" si="27"/>
        <v>-1112.8702266</v>
      </c>
      <c r="Q33" s="17">
        <f t="shared" si="28"/>
        <v>-8.9099999999999999E-2</v>
      </c>
      <c r="R33" s="71">
        <v>2.2622601362955901E-3</v>
      </c>
      <c r="S33" s="72">
        <v>1.3684131595235484E-3</v>
      </c>
      <c r="T33" s="73">
        <f t="shared" si="29"/>
        <v>-8.9384697677204173E-4</v>
      </c>
      <c r="U33" s="50">
        <f t="shared" si="30"/>
        <v>-0.3951123756420426</v>
      </c>
      <c r="V33" s="15">
        <v>26.539108498111201</v>
      </c>
      <c r="W33" s="16">
        <v>27.027445726842998</v>
      </c>
      <c r="X33" s="16">
        <f t="shared" si="18"/>
        <v>0.48833722873179752</v>
      </c>
      <c r="Y33" s="17">
        <f t="shared" si="19"/>
        <v>1.8400664391818311E-2</v>
      </c>
      <c r="Z33" s="15">
        <v>1.1512895034630599</v>
      </c>
      <c r="AA33" s="16">
        <v>1.1689537266130401</v>
      </c>
      <c r="AB33" s="16">
        <f t="shared" si="31"/>
        <v>1.7664223149980174E-2</v>
      </c>
      <c r="AC33" s="17">
        <f t="shared" si="20"/>
        <v>1.5342989836045999E-2</v>
      </c>
      <c r="AD33" s="15">
        <v>24.896428571000001</v>
      </c>
      <c r="AE33" s="16">
        <v>25.599999999750001</v>
      </c>
      <c r="AF33" s="16">
        <f t="shared" si="32"/>
        <v>0.70357142874999923</v>
      </c>
      <c r="AG33" s="17">
        <f t="shared" si="33"/>
        <v>2.8259934019995835E-2</v>
      </c>
      <c r="AH33" s="15">
        <v>24.896428571000001</v>
      </c>
      <c r="AI33" s="16">
        <v>25.599999999750001</v>
      </c>
      <c r="AJ33" s="16">
        <f t="shared" si="34"/>
        <v>0.70357142874999923</v>
      </c>
      <c r="AK33" s="17">
        <f t="shared" si="35"/>
        <v>2.8259934019995835E-2</v>
      </c>
    </row>
    <row r="34" spans="1:37" x14ac:dyDescent="0.3">
      <c r="A34" s="1" t="s">
        <v>7</v>
      </c>
      <c r="B34" s="23">
        <v>28</v>
      </c>
      <c r="C34" s="24">
        <v>28</v>
      </c>
      <c r="D34" s="24">
        <f t="shared" si="21"/>
        <v>0</v>
      </c>
      <c r="E34" s="17">
        <f t="shared" si="22"/>
        <v>0</v>
      </c>
      <c r="F34" s="15">
        <v>0.67857142825000005</v>
      </c>
      <c r="G34" s="16">
        <v>0.67857142825000005</v>
      </c>
      <c r="H34" s="16">
        <f t="shared" si="23"/>
        <v>0</v>
      </c>
      <c r="I34" s="17">
        <f t="shared" si="24"/>
        <v>0</v>
      </c>
      <c r="J34" s="76">
        <v>23</v>
      </c>
      <c r="K34" s="77">
        <v>23</v>
      </c>
      <c r="L34" s="77">
        <f t="shared" si="25"/>
        <v>0</v>
      </c>
      <c r="M34" s="50">
        <f t="shared" si="26"/>
        <v>0</v>
      </c>
      <c r="N34" s="156">
        <v>12490.126</v>
      </c>
      <c r="O34" s="157">
        <v>11377.2557734</v>
      </c>
      <c r="P34" s="157">
        <f t="shared" si="27"/>
        <v>-1112.8702266</v>
      </c>
      <c r="Q34" s="17">
        <f t="shared" si="28"/>
        <v>-8.9099999999999999E-2</v>
      </c>
      <c r="R34" s="71">
        <v>4.9906518094100802E-3</v>
      </c>
      <c r="S34" s="72">
        <v>5.4353688473181101E-3</v>
      </c>
      <c r="T34" s="73">
        <f t="shared" si="29"/>
        <v>4.4471703790802987E-4</v>
      </c>
      <c r="U34" s="50">
        <f t="shared" si="30"/>
        <v>8.9110011054968311E-2</v>
      </c>
      <c r="V34" s="15">
        <v>26.890592367984699</v>
      </c>
      <c r="W34" s="16">
        <v>27.027445726842998</v>
      </c>
      <c r="X34" s="16">
        <f t="shared" si="18"/>
        <v>0.13685335885829986</v>
      </c>
      <c r="Y34" s="17">
        <f t="shared" si="19"/>
        <v>5.0892653083103598E-3</v>
      </c>
      <c r="Z34" s="15">
        <v>1.1732876284128799</v>
      </c>
      <c r="AA34" s="16">
        <v>1.1689537266130401</v>
      </c>
      <c r="AB34" s="16">
        <f t="shared" si="31"/>
        <v>-4.3339017998398344E-3</v>
      </c>
      <c r="AC34" s="17">
        <f t="shared" si="20"/>
        <v>-3.6938101918813845E-3</v>
      </c>
      <c r="AD34" s="15">
        <v>26.857142856749999</v>
      </c>
      <c r="AE34" s="16">
        <v>27.335714285249999</v>
      </c>
      <c r="AF34" s="16">
        <f t="shared" si="32"/>
        <v>0.47857142850000045</v>
      </c>
      <c r="AG34" s="17">
        <f t="shared" si="33"/>
        <v>1.781914893377131E-2</v>
      </c>
      <c r="AH34" s="15">
        <v>26.857142856749999</v>
      </c>
      <c r="AI34" s="16">
        <v>27.335714285249999</v>
      </c>
      <c r="AJ34" s="16">
        <f t="shared" si="34"/>
        <v>0.47857142850000045</v>
      </c>
      <c r="AK34" s="17">
        <f t="shared" si="35"/>
        <v>1.781914893377131E-2</v>
      </c>
    </row>
    <row r="35" spans="1:37" x14ac:dyDescent="0.3">
      <c r="A35" s="1" t="s">
        <v>8</v>
      </c>
      <c r="B35" s="23">
        <v>35</v>
      </c>
      <c r="C35" s="24">
        <v>35</v>
      </c>
      <c r="D35" s="24">
        <f t="shared" si="21"/>
        <v>0</v>
      </c>
      <c r="E35" s="17">
        <f t="shared" si="22"/>
        <v>0</v>
      </c>
      <c r="F35" s="15">
        <v>0.68571428540000001</v>
      </c>
      <c r="G35" s="16">
        <v>0.71428571399999996</v>
      </c>
      <c r="H35" s="16">
        <f t="shared" si="23"/>
        <v>2.8571428599999948E-2</v>
      </c>
      <c r="I35" s="17">
        <f t="shared" si="24"/>
        <v>4.1666666727430482E-2</v>
      </c>
      <c r="J35" s="76">
        <v>30</v>
      </c>
      <c r="K35" s="77">
        <v>30</v>
      </c>
      <c r="L35" s="77">
        <f t="shared" si="25"/>
        <v>0</v>
      </c>
      <c r="M35" s="50">
        <f t="shared" si="26"/>
        <v>0</v>
      </c>
      <c r="N35" s="156">
        <v>12490.126</v>
      </c>
      <c r="O35" s="157">
        <v>11377.2557734</v>
      </c>
      <c r="P35" s="157">
        <f t="shared" si="27"/>
        <v>-1112.8702266</v>
      </c>
      <c r="Q35" s="17">
        <f t="shared" si="28"/>
        <v>-8.9099999999999999E-2</v>
      </c>
      <c r="R35" s="71">
        <v>-8.1501048568842222E-4</v>
      </c>
      <c r="S35" s="72">
        <v>-9.9973187064213639E-3</v>
      </c>
      <c r="T35" s="73">
        <f t="shared" si="29"/>
        <v>-9.1823082207329425E-3</v>
      </c>
      <c r="U35" s="50">
        <f t="shared" si="30"/>
        <v>-11.266490900392331</v>
      </c>
      <c r="V35" s="15">
        <v>27.0532965059639</v>
      </c>
      <c r="W35" s="16">
        <v>27.027445726842998</v>
      </c>
      <c r="X35" s="16">
        <f t="shared" si="18"/>
        <v>-2.5850779120901279E-2</v>
      </c>
      <c r="Y35" s="17">
        <f t="shared" si="19"/>
        <v>-9.5555006079212838E-4</v>
      </c>
      <c r="Z35" s="15">
        <v>1.18382380166533</v>
      </c>
      <c r="AA35" s="16">
        <v>1.1689537266130401</v>
      </c>
      <c r="AB35" s="16">
        <f t="shared" si="31"/>
        <v>-1.4870075052289877E-2</v>
      </c>
      <c r="AC35" s="17">
        <f t="shared" si="20"/>
        <v>-1.2561054298259232E-2</v>
      </c>
      <c r="AD35" s="15">
        <v>29.959999999600001</v>
      </c>
      <c r="AE35" s="16">
        <v>29.754285714000002</v>
      </c>
      <c r="AF35" s="16">
        <f t="shared" si="32"/>
        <v>-0.20571428559999916</v>
      </c>
      <c r="AG35" s="17">
        <f t="shared" si="33"/>
        <v>-6.8662979173146083E-3</v>
      </c>
      <c r="AH35" s="15">
        <v>29.959999999600001</v>
      </c>
      <c r="AI35" s="16">
        <v>29.754285714000002</v>
      </c>
      <c r="AJ35" s="16">
        <f t="shared" si="34"/>
        <v>-0.20571428559999916</v>
      </c>
      <c r="AK35" s="17">
        <f t="shared" si="35"/>
        <v>-6.8662979173146083E-3</v>
      </c>
    </row>
    <row r="36" spans="1:37" x14ac:dyDescent="0.3">
      <c r="A36" s="1" t="s">
        <v>9</v>
      </c>
      <c r="B36" s="23">
        <v>28</v>
      </c>
      <c r="C36" s="24">
        <v>28</v>
      </c>
      <c r="D36" s="24">
        <f t="shared" si="21"/>
        <v>0</v>
      </c>
      <c r="E36" s="17">
        <f t="shared" si="22"/>
        <v>0</v>
      </c>
      <c r="F36" s="15">
        <v>0.67857142825000005</v>
      </c>
      <c r="G36" s="16">
        <v>0.67857142825000005</v>
      </c>
      <c r="H36" s="16">
        <f t="shared" si="23"/>
        <v>0</v>
      </c>
      <c r="I36" s="17">
        <f t="shared" si="24"/>
        <v>0</v>
      </c>
      <c r="J36" s="76">
        <v>24</v>
      </c>
      <c r="K36" s="77">
        <v>24</v>
      </c>
      <c r="L36" s="77">
        <f t="shared" si="25"/>
        <v>0</v>
      </c>
      <c r="M36" s="50">
        <f t="shared" si="26"/>
        <v>0</v>
      </c>
      <c r="N36" s="156">
        <v>12944.004999999999</v>
      </c>
      <c r="O36" s="157">
        <v>12370.5855785</v>
      </c>
      <c r="P36" s="157">
        <f t="shared" si="27"/>
        <v>-573.41942149999886</v>
      </c>
      <c r="Q36" s="17">
        <f t="shared" si="28"/>
        <v>-4.4299999999999916E-2</v>
      </c>
      <c r="R36" s="71">
        <v>4.4985056923327526E-3</v>
      </c>
      <c r="S36" s="72">
        <v>4.6347160811179072E-3</v>
      </c>
      <c r="T36" s="73">
        <f t="shared" si="29"/>
        <v>1.3621038878515457E-4</v>
      </c>
      <c r="U36" s="50">
        <f t="shared" si="30"/>
        <v>3.0279029993740228E-2</v>
      </c>
      <c r="V36" s="15">
        <v>26.865735211636</v>
      </c>
      <c r="W36" s="16">
        <v>27.027445726842998</v>
      </c>
      <c r="X36" s="16">
        <f t="shared" si="18"/>
        <v>0.1617105152069982</v>
      </c>
      <c r="Y36" s="17">
        <f t="shared" si="19"/>
        <v>6.0192104899834883E-3</v>
      </c>
      <c r="Z36" s="15">
        <v>1.1930491603155</v>
      </c>
      <c r="AA36" s="16">
        <v>1.1689537266130401</v>
      </c>
      <c r="AB36" s="16">
        <f t="shared" si="31"/>
        <v>-2.4095433702459923E-2</v>
      </c>
      <c r="AC36" s="17">
        <f t="shared" si="20"/>
        <v>-2.0196513692770146E-2</v>
      </c>
      <c r="AD36" s="15">
        <v>28.896428571000001</v>
      </c>
      <c r="AE36" s="16">
        <v>32.824999999500001</v>
      </c>
      <c r="AF36" s="16">
        <f t="shared" si="32"/>
        <v>3.9285714284999997</v>
      </c>
      <c r="AG36" s="17">
        <f t="shared" si="33"/>
        <v>0.13595352861158252</v>
      </c>
      <c r="AH36" s="15">
        <v>28.896428571000001</v>
      </c>
      <c r="AI36" s="16">
        <v>32.824999999500001</v>
      </c>
      <c r="AJ36" s="16">
        <f t="shared" si="34"/>
        <v>3.9285714284999997</v>
      </c>
      <c r="AK36" s="17">
        <f t="shared" si="35"/>
        <v>0.13595352861158252</v>
      </c>
    </row>
    <row r="37" spans="1:37" x14ac:dyDescent="0.3">
      <c r="A37" s="1" t="s">
        <v>10</v>
      </c>
      <c r="B37" s="23">
        <v>28</v>
      </c>
      <c r="C37" s="24">
        <v>28</v>
      </c>
      <c r="D37" s="24">
        <f t="shared" si="21"/>
        <v>0</v>
      </c>
      <c r="E37" s="80">
        <f t="shared" si="22"/>
        <v>0</v>
      </c>
      <c r="F37" s="15">
        <v>0.64285714250000003</v>
      </c>
      <c r="G37" s="16">
        <v>0.71428571399999996</v>
      </c>
      <c r="H37" s="16">
        <f t="shared" si="23"/>
        <v>7.1428571499999927E-2</v>
      </c>
      <c r="I37" s="80">
        <f t="shared" si="24"/>
        <v>0.1111111112839505</v>
      </c>
      <c r="J37" s="76">
        <v>23</v>
      </c>
      <c r="K37" s="77">
        <v>23</v>
      </c>
      <c r="L37" s="77">
        <f t="shared" si="25"/>
        <v>0</v>
      </c>
      <c r="M37" s="50">
        <f t="shared" si="26"/>
        <v>0</v>
      </c>
      <c r="N37" s="156">
        <v>12944.004999999999</v>
      </c>
      <c r="O37" s="157">
        <v>12370.5855785</v>
      </c>
      <c r="P37" s="157">
        <f t="shared" si="27"/>
        <v>-573.41942149999886</v>
      </c>
      <c r="Q37" s="80">
        <f t="shared" si="28"/>
        <v>-4.4299999999999916E-2</v>
      </c>
      <c r="R37" s="71">
        <v>1.1025641953288345E-2</v>
      </c>
      <c r="S37" s="72">
        <v>2.2244246018308248E-3</v>
      </c>
      <c r="T37" s="73">
        <f t="shared" si="29"/>
        <v>-8.8012173514575194E-3</v>
      </c>
      <c r="U37" s="50">
        <f t="shared" si="30"/>
        <v>-0.79824987866875163</v>
      </c>
      <c r="V37" s="15">
        <v>26.664863995741001</v>
      </c>
      <c r="W37" s="16">
        <v>27.027445726842998</v>
      </c>
      <c r="X37" s="16">
        <f t="shared" si="18"/>
        <v>0.36258173110199721</v>
      </c>
      <c r="Y37" s="80">
        <f t="shared" si="19"/>
        <v>1.3597734125323495E-2</v>
      </c>
      <c r="Z37" s="15">
        <v>1.1635393696052201</v>
      </c>
      <c r="AA37" s="16">
        <v>1.1689537266130401</v>
      </c>
      <c r="AB37" s="16">
        <f t="shared" si="31"/>
        <v>5.4143570078200032E-3</v>
      </c>
      <c r="AC37" s="80">
        <f t="shared" si="20"/>
        <v>4.6533509301512101E-3</v>
      </c>
      <c r="AD37" s="15">
        <v>30.95714285675</v>
      </c>
      <c r="AE37" s="16">
        <v>30.057142856750001</v>
      </c>
      <c r="AF37" s="16">
        <f t="shared" si="32"/>
        <v>-0.89999999999999858</v>
      </c>
      <c r="AG37" s="80">
        <f t="shared" si="33"/>
        <v>-2.9072450392616241E-2</v>
      </c>
      <c r="AH37" s="15">
        <v>30.95714285675</v>
      </c>
      <c r="AI37" s="16">
        <v>30.057142856750001</v>
      </c>
      <c r="AJ37" s="16">
        <f t="shared" si="34"/>
        <v>-0.89999999999999858</v>
      </c>
      <c r="AK37" s="80">
        <f t="shared" si="35"/>
        <v>-2.9072450392616241E-2</v>
      </c>
    </row>
    <row r="38" spans="1:37" ht="15" thickBot="1" x14ac:dyDescent="0.35">
      <c r="A38" s="4" t="s">
        <v>11</v>
      </c>
      <c r="B38" s="25">
        <v>39</v>
      </c>
      <c r="C38" s="26">
        <v>41</v>
      </c>
      <c r="D38" s="26">
        <f t="shared" si="21"/>
        <v>2</v>
      </c>
      <c r="E38" s="20">
        <f t="shared" si="22"/>
        <v>5.128205128205128E-2</v>
      </c>
      <c r="F38" s="18">
        <v>0.65194805160000002</v>
      </c>
      <c r="G38" s="19">
        <v>0.60879120840000001</v>
      </c>
      <c r="H38" s="19">
        <f t="shared" si="23"/>
        <v>-4.3156843200000017E-2</v>
      </c>
      <c r="I38" s="20">
        <f t="shared" si="24"/>
        <v>-6.6196751557252478E-2</v>
      </c>
      <c r="J38" s="78">
        <v>32</v>
      </c>
      <c r="K38" s="79">
        <v>34</v>
      </c>
      <c r="L38" s="79">
        <f t="shared" si="25"/>
        <v>2</v>
      </c>
      <c r="M38" s="54">
        <f t="shared" si="26"/>
        <v>6.25E-2</v>
      </c>
      <c r="N38" s="158">
        <v>12944.004999999999</v>
      </c>
      <c r="O38" s="159">
        <v>12370.5855785</v>
      </c>
      <c r="P38" s="159">
        <f t="shared" si="27"/>
        <v>-573.41942149999886</v>
      </c>
      <c r="Q38" s="20">
        <f t="shared" si="28"/>
        <v>-4.4299999999999916E-2</v>
      </c>
      <c r="R38" s="74">
        <v>-1.5395979724353932E-2</v>
      </c>
      <c r="S38" s="75">
        <v>1.0412175583163488E-3</v>
      </c>
      <c r="T38" s="59">
        <f t="shared" si="29"/>
        <v>1.643719728267028E-2</v>
      </c>
      <c r="U38" s="54">
        <f t="shared" si="30"/>
        <v>1.0676291848234454</v>
      </c>
      <c r="V38" s="18">
        <v>26.785490190394601</v>
      </c>
      <c r="W38" s="19">
        <v>27.027445726842998</v>
      </c>
      <c r="X38" s="19">
        <f t="shared" si="18"/>
        <v>0.24195553644839762</v>
      </c>
      <c r="Y38" s="20">
        <f t="shared" si="19"/>
        <v>9.0330822668746227E-3</v>
      </c>
      <c r="Z38" s="18">
        <v>1.1419653381892301</v>
      </c>
      <c r="AA38" s="19">
        <v>1.1689537266130401</v>
      </c>
      <c r="AB38" s="19">
        <f t="shared" si="31"/>
        <v>2.6988388423810017E-2</v>
      </c>
      <c r="AC38" s="20">
        <f t="shared" si="20"/>
        <v>2.3633281607832731E-2</v>
      </c>
      <c r="AD38" s="18">
        <v>28.607532467399999</v>
      </c>
      <c r="AE38" s="19">
        <v>29.453626372999999</v>
      </c>
      <c r="AF38" s="19">
        <f t="shared" si="32"/>
        <v>0.84609390560000008</v>
      </c>
      <c r="AG38" s="20">
        <f t="shared" si="33"/>
        <v>2.9575913496355372E-2</v>
      </c>
      <c r="AH38" s="18">
        <v>28.607532467399999</v>
      </c>
      <c r="AI38" s="19">
        <v>29.453626372999999</v>
      </c>
      <c r="AJ38" s="19">
        <f t="shared" si="34"/>
        <v>0.84609390560000008</v>
      </c>
      <c r="AK38" s="20">
        <f t="shared" si="35"/>
        <v>2.9575913496355372E-2</v>
      </c>
    </row>
    <row r="39" spans="1:37" ht="15" thickBot="1" x14ac:dyDescent="0.35">
      <c r="A39" s="4" t="s">
        <v>15</v>
      </c>
      <c r="B39" s="25">
        <f>SUM(B27:B38)</f>
        <v>365</v>
      </c>
      <c r="C39" s="26">
        <f>SUM(C27:C38)</f>
        <v>366</v>
      </c>
      <c r="D39" s="26">
        <f>C39-B39</f>
        <v>1</v>
      </c>
      <c r="E39" s="169">
        <f>(C39-B39)/ABS(B39)</f>
        <v>2.7397260273972603E-3</v>
      </c>
      <c r="F39" s="18">
        <f>(4*SUM(F27:F28,F30:F31,F33:F34,F36:F37)+5*SUM(F29,F32,F35,F38))/52</f>
        <v>0.69524225744230772</v>
      </c>
      <c r="G39" s="19">
        <f>(4*SUM(G27:G28,G30:G31,G33:G34,G36:G37)+5*SUM(G29,G32,G35,G38))/52</f>
        <v>0.66476472211538451</v>
      </c>
      <c r="H39" s="19">
        <f>G39-F39</f>
        <v>-3.0477535326923211E-2</v>
      </c>
      <c r="I39" s="83">
        <f>(G39-F39)/F39</f>
        <v>-4.3837288370596895E-2</v>
      </c>
      <c r="J39" s="78">
        <f>SUM(J27:J38)</f>
        <v>302</v>
      </c>
      <c r="K39" s="79">
        <f>SUM(K27:K38)</f>
        <v>298</v>
      </c>
      <c r="L39" s="79">
        <f t="shared" ref="L39" si="36">K39-J39</f>
        <v>-4</v>
      </c>
      <c r="M39" s="172">
        <f t="shared" ref="M39" si="37">(K39-J39)/ABS(J39)</f>
        <v>-1.3245033112582781E-2</v>
      </c>
      <c r="N39" s="65">
        <f>(4*SUM(N27:N28,N30:N31,N33:N34,N36:N37)+5*SUM(N29,N32,N35,N38))/52</f>
        <v>12314.233</v>
      </c>
      <c r="O39" s="66">
        <f>(4*SUM(O27:O28,O30:O31,O33:O34,O36:O37)+5*SUM(O29,O32,O35,O38))/52</f>
        <v>11230.730811522582</v>
      </c>
      <c r="P39" s="66">
        <f>O39-N39</f>
        <v>-1083.5021884774178</v>
      </c>
      <c r="Q39" s="169">
        <f>(O39-N39)/ABS(N39)</f>
        <v>-8.7987793350785048E-2</v>
      </c>
      <c r="R39" s="57">
        <f>PRODUCT((1+R27),(1+R28),(1+R29),(1+R30),(1+R31),(1+R32),(1+R33),(1+R34),(1+R35),(1+R36),(1+R37),(1+R38))-1</f>
        <v>1.4533489052267701E-2</v>
      </c>
      <c r="S39" s="58">
        <f>PRODUCT((1+S27),(1+S28),(1+S29),(1+S30),(1+S31),(1+S32),(1+S33),(1+S34),(1+S35),(1+S36),(1+S37),(1+S38))-1</f>
        <v>1.246018251245018E-2</v>
      </c>
      <c r="T39" s="59">
        <f>S39-R39</f>
        <v>-2.073306539817521E-3</v>
      </c>
      <c r="U39" s="173">
        <f>(S39-R39)/ABS(R39)</f>
        <v>-0.14265717835277944</v>
      </c>
      <c r="V39" s="18">
        <f>(4*SUM(V27:V28,V30:V31,V33:V34,V36:V37)+5*SUM(V29,V32,V35,V38))/52</f>
        <v>26.530056055865501</v>
      </c>
      <c r="W39" s="19">
        <f>(4*SUM(W27:W28,W30:W31,W33:W34,W36:W37)+5*SUM(W29,W32,W35,W38))/52</f>
        <v>27.034000970074995</v>
      </c>
      <c r="X39" s="19">
        <f t="shared" ref="X39" si="38">W39-V39</f>
        <v>0.5039449142094945</v>
      </c>
      <c r="Y39" s="169">
        <f t="shared" ref="Y39" si="39">(W39-V39)/ABS(V39)</f>
        <v>1.8995244983588261E-2</v>
      </c>
      <c r="Z39" s="18">
        <f>(4*SUM(Z27:Z28,Z30:Z31,Z33:Z34,Z36:Z37)+5*SUM(Z29,Z32,Z35,Z38))/52</f>
        <v>1.1578654497790808</v>
      </c>
      <c r="AA39" s="19">
        <f>(4*SUM(AA27:AA28,AA30:AA31,AA33:AA34,AA36:AA37)+5*SUM(AA29,AA32,AA35,AA38))/52</f>
        <v>1.1692791274826886</v>
      </c>
      <c r="AB39" s="19">
        <f>AA39-Z39</f>
        <v>1.1413677703607794E-2</v>
      </c>
      <c r="AC39" s="169">
        <f t="shared" ref="AC39" si="40">(AA39-Z39)/ABS(Z39)</f>
        <v>9.8575164374975592E-3</v>
      </c>
      <c r="AD39" s="18">
        <f>(4*SUM(AD27:AD28,AD30:AD31,AD33:AD34,AD36:AD37)+5*SUM(AD29,AD32,AD35,AD38))/52</f>
        <v>27.939048451173075</v>
      </c>
      <c r="AE39" s="19">
        <f>(4*SUM(AE27:AE28,AE30:AE31,AE33:AE34,AE36:AE37)+5*SUM(AE29,AE32,AE35,AE38))/52</f>
        <v>28.388214989750001</v>
      </c>
      <c r="AF39" s="19">
        <f>AE39-AD39</f>
        <v>0.44916653857692523</v>
      </c>
      <c r="AG39" s="169">
        <f>(AE39-AD39)/ABS(AD39)</f>
        <v>1.6076658421703194E-2</v>
      </c>
      <c r="AH39" s="18">
        <f>(4*SUM(AH27:AH28,AH30:AH31,AH33:AH34,AH36:AH37)+5*SUM(AH29,AH32,AH35,AH38))/52</f>
        <v>27.939048451173075</v>
      </c>
      <c r="AI39" s="19">
        <f>(4*SUM(AI27:AI28,AI30:AI31,AI33:AI34,AI36:AI37)+5*SUM(AI29,AI32,AI35,AI38))/52</f>
        <v>28.388214989750001</v>
      </c>
      <c r="AJ39" s="19">
        <f>AI39-AH39</f>
        <v>0.44916653857692523</v>
      </c>
      <c r="AK39" s="169">
        <f>(AI39-AH39)/ABS(AH39)</f>
        <v>1.6076658421703194E-2</v>
      </c>
    </row>
  </sheetData>
  <mergeCells count="41">
    <mergeCell ref="AH1:AK5"/>
    <mergeCell ref="AH7:AK7"/>
    <mergeCell ref="AH8:AK8"/>
    <mergeCell ref="AH24:AK24"/>
    <mergeCell ref="AH25:AK25"/>
    <mergeCell ref="J1:M5"/>
    <mergeCell ref="J8:M8"/>
    <mergeCell ref="J25:M25"/>
    <mergeCell ref="B7:M7"/>
    <mergeCell ref="B24:M24"/>
    <mergeCell ref="B1:E5"/>
    <mergeCell ref="F1:I5"/>
    <mergeCell ref="F8:I8"/>
    <mergeCell ref="B8:E8"/>
    <mergeCell ref="F25:I25"/>
    <mergeCell ref="B25:E25"/>
    <mergeCell ref="V1:Y5"/>
    <mergeCell ref="Z1:AC5"/>
    <mergeCell ref="AD1:AG5"/>
    <mergeCell ref="N7:Q7"/>
    <mergeCell ref="R7:U7"/>
    <mergeCell ref="V7:Y7"/>
    <mergeCell ref="Z7:AC7"/>
    <mergeCell ref="N1:Q5"/>
    <mergeCell ref="R1:U5"/>
    <mergeCell ref="AD7:AG7"/>
    <mergeCell ref="AD8:AG8"/>
    <mergeCell ref="AD24:AG24"/>
    <mergeCell ref="N8:Q8"/>
    <mergeCell ref="R8:U8"/>
    <mergeCell ref="V8:Y8"/>
    <mergeCell ref="Z8:AC8"/>
    <mergeCell ref="N24:Q24"/>
    <mergeCell ref="R24:U24"/>
    <mergeCell ref="V24:Y24"/>
    <mergeCell ref="Z24:AC24"/>
    <mergeCell ref="N25:Q25"/>
    <mergeCell ref="V25:Y25"/>
    <mergeCell ref="Z25:AC25"/>
    <mergeCell ref="AD25:AG25"/>
    <mergeCell ref="R25:U25"/>
  </mergeCells>
  <pageMargins left="0.7" right="0.7" top="0.75" bottom="0.75" header="0.3" footer="0.3"/>
  <pageSetup paperSize="9"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M36"/>
  <sheetViews>
    <sheetView showGridLines="0" zoomScale="80" zoomScaleNormal="80" workbookViewId="0">
      <pane xSplit="1" topLeftCell="B1" activePane="topRight" state="frozen"/>
      <selection pane="topRight" activeCell="B5" sqref="B5"/>
    </sheetView>
  </sheetViews>
  <sheetFormatPr baseColWidth="10" defaultColWidth="26.6640625" defaultRowHeight="14.4" outlineLevelRow="1" x14ac:dyDescent="0.3"/>
  <cols>
    <col min="1" max="1" width="12.88671875" bestFit="1" customWidth="1"/>
    <col min="2" max="2" width="16.5546875" bestFit="1" customWidth="1"/>
    <col min="3" max="3" width="12.6640625" bestFit="1" customWidth="1"/>
    <col min="4" max="4" width="14.6640625" bestFit="1" customWidth="1"/>
    <col min="5" max="5" width="16.44140625" bestFit="1" customWidth="1"/>
    <col min="6" max="6" width="21.88671875" bestFit="1" customWidth="1"/>
    <col min="7" max="7" width="13.6640625" bestFit="1" customWidth="1"/>
    <col min="8" max="8" width="12.109375" style="250" customWidth="1"/>
    <col min="9" max="9" width="13.6640625" bestFit="1" customWidth="1"/>
    <col min="10" max="10" width="17" bestFit="1" customWidth="1"/>
    <col min="11" max="11" width="13.44140625" customWidth="1"/>
    <col min="12" max="12" width="14" style="27" bestFit="1" customWidth="1"/>
    <col min="13" max="13" width="100.44140625" customWidth="1"/>
  </cols>
  <sheetData>
    <row r="1" spans="1:13" ht="25.5" customHeight="1" x14ac:dyDescent="0.5">
      <c r="B1" s="305" t="s">
        <v>43</v>
      </c>
      <c r="C1" s="305"/>
      <c r="D1" s="305"/>
      <c r="E1" s="305"/>
      <c r="F1" s="305"/>
      <c r="G1" s="305"/>
      <c r="H1" s="305"/>
      <c r="I1" s="305"/>
      <c r="J1" s="305"/>
    </row>
    <row r="2" spans="1:13" x14ac:dyDescent="0.3">
      <c r="A2" s="306" t="str">
        <f>'Andina DT'!A2:J2</f>
        <v>w47</v>
      </c>
      <c r="B2" s="306"/>
      <c r="C2" s="306"/>
      <c r="D2" s="306"/>
      <c r="E2" s="306"/>
      <c r="F2" s="306"/>
      <c r="G2" s="306"/>
      <c r="H2" s="306"/>
      <c r="I2" s="306"/>
      <c r="J2" s="306"/>
    </row>
    <row r="3" spans="1:13" ht="28.8" x14ac:dyDescent="0.3">
      <c r="A3" s="5" t="s">
        <v>34</v>
      </c>
      <c r="B3" s="5" t="s">
        <v>26</v>
      </c>
      <c r="C3" s="40" t="s">
        <v>21</v>
      </c>
      <c r="D3" s="40" t="s">
        <v>22</v>
      </c>
      <c r="E3" s="40" t="s">
        <v>23</v>
      </c>
      <c r="F3" s="40" t="s">
        <v>24</v>
      </c>
      <c r="G3" s="40" t="s">
        <v>25</v>
      </c>
      <c r="H3" s="40" t="s">
        <v>60</v>
      </c>
      <c r="I3" s="5" t="s">
        <v>62</v>
      </c>
      <c r="J3" s="5" t="s">
        <v>65</v>
      </c>
      <c r="K3" s="5" t="s">
        <v>66</v>
      </c>
      <c r="M3" s="130" t="str">
        <f>"Comentarios "&amp;A2</f>
        <v>Comentarios w47</v>
      </c>
    </row>
    <row r="4" spans="1:13" x14ac:dyDescent="0.3">
      <c r="A4" s="6" t="s">
        <v>0</v>
      </c>
      <c r="B4" s="7">
        <v>24014003.743999999</v>
      </c>
      <c r="C4" s="7">
        <v>-686458.65246233798</v>
      </c>
      <c r="D4" s="7">
        <v>-251908.62608192299</v>
      </c>
      <c r="E4" s="7">
        <v>31667.929864292099</v>
      </c>
      <c r="F4" s="7">
        <v>-10703.777423211201</v>
      </c>
      <c r="G4" s="7">
        <v>103605.61904231799</v>
      </c>
      <c r="H4" s="7">
        <v>1</v>
      </c>
      <c r="I4" s="7">
        <v>1463777.83806101</v>
      </c>
      <c r="J4" s="7">
        <f>SUM(B4:I4)</f>
        <v>24663985.075000148</v>
      </c>
      <c r="K4" s="123">
        <f>J4/B4-1</f>
        <v>2.706676229125482E-2</v>
      </c>
      <c r="L4" s="167"/>
      <c r="M4" s="325"/>
    </row>
    <row r="5" spans="1:13" x14ac:dyDescent="0.3">
      <c r="A5" s="6" t="s">
        <v>1</v>
      </c>
      <c r="B5" s="7">
        <v>32496900.820999999</v>
      </c>
      <c r="C5" s="7">
        <v>0</v>
      </c>
      <c r="D5" s="7">
        <v>-533918.21409566503</v>
      </c>
      <c r="E5" s="7">
        <v>-53494.403173053302</v>
      </c>
      <c r="F5" s="7">
        <v>32735.956181293201</v>
      </c>
      <c r="G5" s="7">
        <v>-232784.76474120599</v>
      </c>
      <c r="H5" s="7">
        <v>1</v>
      </c>
      <c r="I5" s="7">
        <v>545621.36682875501</v>
      </c>
      <c r="J5" s="7">
        <f t="shared" ref="J5:J15" si="0">SUM(B5:I5)</f>
        <v>32255061.762000125</v>
      </c>
      <c r="K5" s="124">
        <f t="shared" ref="K5:K16" si="1">J5/B5-1</f>
        <v>-7.4419114712500622E-3</v>
      </c>
      <c r="L5" s="167"/>
      <c r="M5" s="325"/>
    </row>
    <row r="6" spans="1:13" ht="15" customHeight="1" x14ac:dyDescent="0.3">
      <c r="A6" s="6" t="s">
        <v>2</v>
      </c>
      <c r="B6" s="7">
        <v>36102530.174999997</v>
      </c>
      <c r="C6" s="7">
        <v>0</v>
      </c>
      <c r="D6" s="7">
        <v>-656962.16937265894</v>
      </c>
      <c r="E6" s="7">
        <v>-61472.665894880804</v>
      </c>
      <c r="F6" s="7">
        <v>-52276.665448196902</v>
      </c>
      <c r="G6" s="7">
        <v>288996.794816682</v>
      </c>
      <c r="H6" s="7">
        <v>1</v>
      </c>
      <c r="I6" s="7">
        <v>256329.410435884</v>
      </c>
      <c r="J6" s="7">
        <f t="shared" si="0"/>
        <v>35877145.87953683</v>
      </c>
      <c r="K6" s="124">
        <f t="shared" si="1"/>
        <v>-6.2428947326035322E-3</v>
      </c>
      <c r="L6" s="167"/>
      <c r="M6" s="94"/>
    </row>
    <row r="7" spans="1:13" x14ac:dyDescent="0.3">
      <c r="A7" s="6" t="s">
        <v>3</v>
      </c>
      <c r="B7" s="7">
        <v>23565074.056000002</v>
      </c>
      <c r="C7" s="7">
        <v>-285420.73843650398</v>
      </c>
      <c r="D7" s="7">
        <v>-645224.21320434799</v>
      </c>
      <c r="E7" s="7">
        <v>-2166.9936097394102</v>
      </c>
      <c r="F7" s="7">
        <v>-103971.634391578</v>
      </c>
      <c r="G7" s="7">
        <v>265125.561361945</v>
      </c>
      <c r="H7" s="7">
        <v>1</v>
      </c>
      <c r="I7" s="7">
        <v>1383297.94263601</v>
      </c>
      <c r="J7" s="7">
        <f t="shared" si="0"/>
        <v>24176714.980355788</v>
      </c>
      <c r="K7" s="124">
        <f t="shared" si="1"/>
        <v>2.5955400051036692E-2</v>
      </c>
      <c r="L7" s="167"/>
      <c r="M7" s="41"/>
    </row>
    <row r="8" spans="1:13" ht="15" customHeight="1" x14ac:dyDescent="0.3">
      <c r="A8" s="6" t="s">
        <v>4</v>
      </c>
      <c r="B8" s="7">
        <v>22580557.245999999</v>
      </c>
      <c r="C8" s="7">
        <v>-252401.336993106</v>
      </c>
      <c r="D8" s="7">
        <v>-946825.33503366599</v>
      </c>
      <c r="E8" s="7">
        <v>256975.95564124401</v>
      </c>
      <c r="F8" s="7">
        <v>-98913.163095146199</v>
      </c>
      <c r="G8" s="7">
        <v>224530.357805081</v>
      </c>
      <c r="H8" s="7">
        <v>1</v>
      </c>
      <c r="I8" s="7">
        <v>76735.402551818304</v>
      </c>
      <c r="J8" s="7">
        <f t="shared" si="0"/>
        <v>21840660.126876224</v>
      </c>
      <c r="K8" s="124">
        <f t="shared" si="1"/>
        <v>-3.2766999993095514E-2</v>
      </c>
      <c r="L8" s="167"/>
      <c r="M8" s="95"/>
    </row>
    <row r="9" spans="1:13" ht="15" customHeight="1" x14ac:dyDescent="0.3">
      <c r="A9" s="6" t="s">
        <v>5</v>
      </c>
      <c r="B9" s="7">
        <v>27154147.855999999</v>
      </c>
      <c r="C9" s="7">
        <v>0</v>
      </c>
      <c r="D9" s="7">
        <v>-1290154.71089859</v>
      </c>
      <c r="E9" s="7">
        <v>158450.673193903</v>
      </c>
      <c r="F9" s="7">
        <v>-174498.972334727</v>
      </c>
      <c r="G9" s="7">
        <v>10101.4649943518</v>
      </c>
      <c r="H9" s="7">
        <v>1</v>
      </c>
      <c r="I9" s="7">
        <v>-530716.59606169199</v>
      </c>
      <c r="J9" s="7">
        <f t="shared" si="0"/>
        <v>25327330.714893244</v>
      </c>
      <c r="K9" s="124">
        <f t="shared" si="1"/>
        <v>-6.7275804447794463E-2</v>
      </c>
      <c r="L9" s="167"/>
      <c r="M9" s="326"/>
    </row>
    <row r="10" spans="1:13" x14ac:dyDescent="0.3">
      <c r="A10" s="6" t="s">
        <v>6</v>
      </c>
      <c r="B10" s="7">
        <v>21367699.550999999</v>
      </c>
      <c r="C10" s="7">
        <v>-463079.17007253697</v>
      </c>
      <c r="D10" s="7">
        <v>-1047440.32461732</v>
      </c>
      <c r="E10" s="7">
        <v>25434.8641122806</v>
      </c>
      <c r="F10" s="7">
        <v>-164560.97679897799</v>
      </c>
      <c r="G10" s="7">
        <v>-263812.600892296</v>
      </c>
      <c r="H10" s="7">
        <v>1</v>
      </c>
      <c r="I10" s="7">
        <v>-149656.21921797199</v>
      </c>
      <c r="J10" s="7">
        <f t="shared" si="0"/>
        <v>19304586.123513181</v>
      </c>
      <c r="K10" s="124">
        <f t="shared" si="1"/>
        <v>-9.6552903252997369E-2</v>
      </c>
      <c r="L10" s="167"/>
      <c r="M10" s="326"/>
    </row>
    <row r="11" spans="1:13" x14ac:dyDescent="0.3">
      <c r="A11" s="6" t="s">
        <v>7</v>
      </c>
      <c r="B11" s="7">
        <v>23500112.458000001</v>
      </c>
      <c r="C11" s="7">
        <v>-27389.191265465</v>
      </c>
      <c r="D11" s="7">
        <v>-1104219.92226819</v>
      </c>
      <c r="E11" s="7">
        <v>-36434.457219287498</v>
      </c>
      <c r="F11" s="7">
        <v>-175644.723847491</v>
      </c>
      <c r="G11" s="7">
        <v>-293001.613262809</v>
      </c>
      <c r="H11" s="7">
        <v>1</v>
      </c>
      <c r="I11" s="7">
        <v>-863123.204684978</v>
      </c>
      <c r="J11" s="7">
        <f t="shared" si="0"/>
        <v>21000300.345451783</v>
      </c>
      <c r="K11" s="124">
        <f t="shared" si="1"/>
        <v>-0.10637447446330073</v>
      </c>
      <c r="L11" s="167"/>
      <c r="M11" s="326"/>
    </row>
    <row r="12" spans="1:13" x14ac:dyDescent="0.3">
      <c r="A12" s="6" t="s">
        <v>8</v>
      </c>
      <c r="B12" s="7">
        <v>33916374.571999997</v>
      </c>
      <c r="C12" s="7">
        <v>285326.60419691599</v>
      </c>
      <c r="D12" s="7">
        <v>-1572542.27538972</v>
      </c>
      <c r="E12" s="7">
        <v>-121393.373724608</v>
      </c>
      <c r="F12" s="7">
        <v>-338262.36736626999</v>
      </c>
      <c r="G12" s="7">
        <v>-283613.17001659801</v>
      </c>
      <c r="H12" s="7">
        <v>1</v>
      </c>
      <c r="I12" s="7">
        <v>-2135571.41522174</v>
      </c>
      <c r="J12" s="7">
        <f t="shared" si="0"/>
        <v>29750319.574477974</v>
      </c>
      <c r="K12" s="124">
        <f t="shared" si="1"/>
        <v>-0.12283314623377672</v>
      </c>
      <c r="L12" s="167"/>
      <c r="M12" s="99"/>
    </row>
    <row r="13" spans="1:13" x14ac:dyDescent="0.3">
      <c r="A13" s="6" t="s">
        <v>9</v>
      </c>
      <c r="B13" s="7">
        <v>23045549.241999999</v>
      </c>
      <c r="C13" s="7">
        <v>-292375.993866832</v>
      </c>
      <c r="D13" s="7">
        <v>-1137019.1280030599</v>
      </c>
      <c r="E13" s="7">
        <v>-67538.125009350901</v>
      </c>
      <c r="F13" s="7">
        <v>-150792.23850439099</v>
      </c>
      <c r="G13" s="7">
        <v>103050.965932363</v>
      </c>
      <c r="H13" s="7">
        <v>1</v>
      </c>
      <c r="I13" s="7">
        <v>1524546.0107481701</v>
      </c>
      <c r="J13" s="7">
        <f t="shared" si="0"/>
        <v>23025421.733296897</v>
      </c>
      <c r="K13" s="124">
        <f t="shared" si="1"/>
        <v>-8.7337943182619338E-4</v>
      </c>
      <c r="L13" s="167"/>
      <c r="M13" s="99"/>
    </row>
    <row r="14" spans="1:13" x14ac:dyDescent="0.3">
      <c r="A14" s="6" t="s">
        <v>10</v>
      </c>
      <c r="B14" s="7">
        <v>28597389.811999999</v>
      </c>
      <c r="C14" s="7">
        <v>-15455.408053727</v>
      </c>
      <c r="D14" s="7">
        <v>-1278008.0704548</v>
      </c>
      <c r="E14" s="7">
        <v>-374070.74861037801</v>
      </c>
      <c r="F14" s="7">
        <v>-216467.695749848</v>
      </c>
      <c r="G14" s="7">
        <v>-383875.767873217</v>
      </c>
      <c r="H14" s="7">
        <v>1</v>
      </c>
      <c r="I14" s="7">
        <v>-892864.53637386102</v>
      </c>
      <c r="J14" s="7">
        <f t="shared" si="0"/>
        <v>25436648.58488417</v>
      </c>
      <c r="K14" s="124">
        <f t="shared" si="1"/>
        <v>-0.11052551466740934</v>
      </c>
      <c r="L14" s="167"/>
      <c r="M14" s="41"/>
    </row>
    <row r="15" spans="1:13" x14ac:dyDescent="0.3">
      <c r="A15" s="6" t="s">
        <v>11</v>
      </c>
      <c r="B15" s="7">
        <v>49761728.763999999</v>
      </c>
      <c r="C15" s="7">
        <v>3241826.84182277</v>
      </c>
      <c r="D15" s="7">
        <v>-2140783.1409789701</v>
      </c>
      <c r="E15" s="7">
        <v>-482163.223244533</v>
      </c>
      <c r="F15" s="7">
        <v>-350858.06772940198</v>
      </c>
      <c r="G15" s="7">
        <v>-709421.00009990798</v>
      </c>
      <c r="H15" s="7">
        <v>1</v>
      </c>
      <c r="I15" s="7">
        <v>325980.18805557198</v>
      </c>
      <c r="J15" s="7">
        <f t="shared" si="0"/>
        <v>49646311.361825541</v>
      </c>
      <c r="K15" s="124">
        <f t="shared" si="1"/>
        <v>-2.3194009742273369E-3</v>
      </c>
      <c r="L15" s="167"/>
      <c r="M15" s="41"/>
    </row>
    <row r="16" spans="1:13" x14ac:dyDescent="0.3">
      <c r="A16" s="8" t="s">
        <v>27</v>
      </c>
      <c r="B16" s="9">
        <f t="shared" ref="B16:J16" si="2">SUM(B4:B15)</f>
        <v>346102068.29699999</v>
      </c>
      <c r="C16" s="9">
        <f t="shared" si="2"/>
        <v>1504572.9548691772</v>
      </c>
      <c r="D16" s="9">
        <f t="shared" si="2"/>
        <v>-12605006.130398909</v>
      </c>
      <c r="E16" s="9">
        <f t="shared" si="2"/>
        <v>-726204.56767411111</v>
      </c>
      <c r="F16" s="9">
        <f t="shared" si="2"/>
        <v>-1804214.326507946</v>
      </c>
      <c r="G16" s="9">
        <f t="shared" si="2"/>
        <v>-1171098.152933293</v>
      </c>
      <c r="H16" s="9">
        <f t="shared" si="2"/>
        <v>12</v>
      </c>
      <c r="I16" s="9">
        <f t="shared" si="2"/>
        <v>1004356.1877569759</v>
      </c>
      <c r="J16" s="9">
        <f t="shared" si="2"/>
        <v>332304486.2621119</v>
      </c>
      <c r="K16" s="145">
        <f t="shared" si="1"/>
        <v>-3.9865644556183355E-2</v>
      </c>
      <c r="L16" s="97"/>
      <c r="M16" s="41"/>
    </row>
    <row r="17" spans="1:13" x14ac:dyDescent="0.3">
      <c r="D17" s="89"/>
      <c r="H17" s="89"/>
      <c r="I17" s="101"/>
      <c r="K17" s="126"/>
      <c r="M17" s="41"/>
    </row>
    <row r="18" spans="1:13" ht="28.8" outlineLevel="1" x14ac:dyDescent="0.3">
      <c r="A18" s="86"/>
      <c r="B18" s="86"/>
      <c r="C18" s="86" t="s">
        <v>21</v>
      </c>
      <c r="D18" s="86" t="s">
        <v>22</v>
      </c>
      <c r="E18" s="86" t="s">
        <v>23</v>
      </c>
      <c r="F18" s="86" t="s">
        <v>24</v>
      </c>
      <c r="G18" s="86" t="s">
        <v>25</v>
      </c>
      <c r="H18" s="86" t="s">
        <v>60</v>
      </c>
      <c r="I18" s="86" t="s">
        <v>62</v>
      </c>
      <c r="J18" s="86" t="s">
        <v>65</v>
      </c>
      <c r="K18" s="110"/>
    </row>
    <row r="19" spans="1:13" outlineLevel="1" x14ac:dyDescent="0.3">
      <c r="A19" s="307" t="str">
        <f>"Dif. FY " &amp; A2 &amp; " vs " &amp; A22</f>
        <v>Dif. FY w47 vs w43</v>
      </c>
      <c r="B19" s="308"/>
      <c r="C19" s="87">
        <f>C16-C36</f>
        <v>-23982.1101088461</v>
      </c>
      <c r="D19" s="87">
        <f>D16-D36</f>
        <v>-12341.132743127644</v>
      </c>
      <c r="E19" s="87">
        <f t="shared" ref="E19:J19" si="3">E16-E36</f>
        <v>7750.2730860777665</v>
      </c>
      <c r="F19" s="87">
        <f t="shared" si="3"/>
        <v>-174115.02235324099</v>
      </c>
      <c r="G19" s="87">
        <f t="shared" si="3"/>
        <v>166200.85314438981</v>
      </c>
      <c r="H19" s="114">
        <f t="shared" si="3"/>
        <v>0</v>
      </c>
      <c r="I19" s="87">
        <f t="shared" si="3"/>
        <v>-7191.7014057547785</v>
      </c>
      <c r="J19" s="87">
        <f t="shared" si="3"/>
        <v>-43678.840380489826</v>
      </c>
      <c r="K19" s="127"/>
    </row>
    <row r="20" spans="1:13" x14ac:dyDescent="0.3">
      <c r="A20" s="307" t="str">
        <f>"Var. FY " &amp; A2 &amp; " vs " &amp; A22</f>
        <v>Var. FY w47 vs w43</v>
      </c>
      <c r="B20" s="308"/>
      <c r="C20" s="121">
        <f>(C16-C36)/ABS(C36)</f>
        <v>-1.5689398869769146E-2</v>
      </c>
      <c r="D20" s="121">
        <f t="shared" ref="D20:J20" si="4">(D16-D36)/ABS(D36)</f>
        <v>-9.8002549463715896E-4</v>
      </c>
      <c r="E20" s="121">
        <f t="shared" si="4"/>
        <v>1.0559604836246426E-2</v>
      </c>
      <c r="F20" s="181">
        <f t="shared" si="4"/>
        <v>-0.10681252480107589</v>
      </c>
      <c r="G20" s="121">
        <f t="shared" si="4"/>
        <v>0.12428099653783435</v>
      </c>
      <c r="H20" s="134">
        <f t="shared" si="4"/>
        <v>0</v>
      </c>
      <c r="I20" s="121">
        <f t="shared" si="4"/>
        <v>-7.109600526879087E-3</v>
      </c>
      <c r="J20" s="181">
        <f t="shared" si="4"/>
        <v>-1.3142494819256718E-4</v>
      </c>
      <c r="K20" s="127"/>
    </row>
    <row r="21" spans="1:13" x14ac:dyDescent="0.3">
      <c r="C21" s="89"/>
      <c r="D21" s="89"/>
      <c r="E21" s="89"/>
      <c r="F21" s="89"/>
      <c r="G21" s="89"/>
      <c r="I21" s="89"/>
      <c r="K21" s="127"/>
    </row>
    <row r="22" spans="1:13" x14ac:dyDescent="0.3">
      <c r="A22" s="306" t="str">
        <f>'Andina DT'!A22:J22</f>
        <v>w43</v>
      </c>
      <c r="B22" s="306"/>
      <c r="C22" s="306"/>
      <c r="D22" s="306"/>
      <c r="E22" s="306"/>
      <c r="F22" s="306"/>
      <c r="G22" s="306"/>
      <c r="H22" s="306"/>
      <c r="I22" s="306"/>
      <c r="J22" s="306"/>
      <c r="K22" s="110"/>
    </row>
    <row r="23" spans="1:13" ht="28.8" x14ac:dyDescent="0.3">
      <c r="A23" s="5" t="s">
        <v>34</v>
      </c>
      <c r="B23" s="5" t="s">
        <v>26</v>
      </c>
      <c r="C23" s="40" t="s">
        <v>21</v>
      </c>
      <c r="D23" s="40" t="s">
        <v>22</v>
      </c>
      <c r="E23" s="40" t="s">
        <v>23</v>
      </c>
      <c r="F23" s="40" t="s">
        <v>24</v>
      </c>
      <c r="G23" s="40" t="s">
        <v>25</v>
      </c>
      <c r="H23" s="40" t="s">
        <v>60</v>
      </c>
      <c r="I23" s="5" t="s">
        <v>62</v>
      </c>
      <c r="J23" s="5" t="s">
        <v>65</v>
      </c>
      <c r="K23" s="130" t="s">
        <v>66</v>
      </c>
      <c r="L23" s="129"/>
      <c r="M23" s="130" t="str">
        <f>"Comentarios "&amp;A22</f>
        <v>Comentarios w43</v>
      </c>
    </row>
    <row r="24" spans="1:13" x14ac:dyDescent="0.3">
      <c r="A24" s="6" t="s">
        <v>0</v>
      </c>
      <c r="B24" s="7">
        <v>24014003.743999999</v>
      </c>
      <c r="C24" s="7">
        <v>-686458.65246233798</v>
      </c>
      <c r="D24" s="7">
        <v>-251908.62608192299</v>
      </c>
      <c r="E24" s="7">
        <v>31667.929864292099</v>
      </c>
      <c r="F24" s="7">
        <v>-10703.777423211201</v>
      </c>
      <c r="G24" s="7">
        <v>103605.61904231799</v>
      </c>
      <c r="H24" s="7">
        <v>1</v>
      </c>
      <c r="I24" s="7">
        <v>1463777.83806101</v>
      </c>
      <c r="J24" s="7">
        <f>SUM(B24:I24)</f>
        <v>24663985.075000148</v>
      </c>
      <c r="K24" s="123">
        <f>J24/B24-1</f>
        <v>2.706676229125482E-2</v>
      </c>
      <c r="L24" s="128"/>
      <c r="M24" s="10"/>
    </row>
    <row r="25" spans="1:13" x14ac:dyDescent="0.3">
      <c r="A25" s="6" t="s">
        <v>1</v>
      </c>
      <c r="B25" s="7">
        <v>32496900.820999999</v>
      </c>
      <c r="C25" s="7">
        <v>0</v>
      </c>
      <c r="D25" s="7">
        <v>-533918.21409566503</v>
      </c>
      <c r="E25" s="7">
        <v>-53494.403173053302</v>
      </c>
      <c r="F25" s="7">
        <v>32735.956181293201</v>
      </c>
      <c r="G25" s="7">
        <v>-232784.76474120599</v>
      </c>
      <c r="H25" s="7">
        <v>1</v>
      </c>
      <c r="I25" s="7">
        <v>545621.36682875501</v>
      </c>
      <c r="J25" s="7">
        <f t="shared" ref="J25:J35" si="5">SUM(B25:I25)</f>
        <v>32255061.762000125</v>
      </c>
      <c r="K25" s="124">
        <f t="shared" ref="K25:K36" si="6">J25/B25-1</f>
        <v>-7.4419114712500622E-3</v>
      </c>
      <c r="L25" s="128"/>
      <c r="M25" s="10"/>
    </row>
    <row r="26" spans="1:13" ht="15" customHeight="1" x14ac:dyDescent="0.3">
      <c r="A26" s="6" t="s">
        <v>2</v>
      </c>
      <c r="B26" s="7">
        <v>36102530.174999997</v>
      </c>
      <c r="C26" s="7">
        <v>0</v>
      </c>
      <c r="D26" s="7">
        <v>-656962.16937265894</v>
      </c>
      <c r="E26" s="7">
        <v>-61472.665894880804</v>
      </c>
      <c r="F26" s="7">
        <v>-52276.665448196902</v>
      </c>
      <c r="G26" s="7">
        <v>288996.794816682</v>
      </c>
      <c r="H26" s="7">
        <v>1</v>
      </c>
      <c r="I26" s="7">
        <v>256329.410435884</v>
      </c>
      <c r="J26" s="7">
        <f t="shared" si="5"/>
        <v>35877145.87953683</v>
      </c>
      <c r="K26" s="124">
        <f t="shared" si="6"/>
        <v>-6.2428947326035322E-3</v>
      </c>
      <c r="L26" s="128"/>
      <c r="M26" s="35"/>
    </row>
    <row r="27" spans="1:13" x14ac:dyDescent="0.3">
      <c r="A27" s="6" t="s">
        <v>3</v>
      </c>
      <c r="B27" s="7">
        <v>23565074.056000002</v>
      </c>
      <c r="C27" s="7">
        <v>-285420.73843650398</v>
      </c>
      <c r="D27" s="7">
        <v>-645224.21320434799</v>
      </c>
      <c r="E27" s="7">
        <v>-2166.9936097394102</v>
      </c>
      <c r="F27" s="7">
        <v>-103971.634391578</v>
      </c>
      <c r="G27" s="7">
        <v>265125.561361945</v>
      </c>
      <c r="H27" s="7">
        <v>1</v>
      </c>
      <c r="I27" s="7">
        <v>1383297.94263601</v>
      </c>
      <c r="J27" s="7">
        <f t="shared" si="5"/>
        <v>24176714.980355788</v>
      </c>
      <c r="K27" s="124">
        <f t="shared" si="6"/>
        <v>2.5955400051036692E-2</v>
      </c>
      <c r="L27" s="128"/>
      <c r="M27" s="35"/>
    </row>
    <row r="28" spans="1:13" ht="15" customHeight="1" x14ac:dyDescent="0.3">
      <c r="A28" s="6" t="s">
        <v>4</v>
      </c>
      <c r="B28" s="7">
        <v>22580557.245999999</v>
      </c>
      <c r="C28" s="7">
        <v>-252401.336993106</v>
      </c>
      <c r="D28" s="7">
        <v>-946825.33503366599</v>
      </c>
      <c r="E28" s="7">
        <v>256975.95564124401</v>
      </c>
      <c r="F28" s="7">
        <v>-98913.163095146199</v>
      </c>
      <c r="G28" s="7">
        <v>224530.357805081</v>
      </c>
      <c r="H28" s="7">
        <v>1</v>
      </c>
      <c r="I28" s="7">
        <v>76735.402551818304</v>
      </c>
      <c r="J28" s="7">
        <f t="shared" si="5"/>
        <v>21840660.126876224</v>
      </c>
      <c r="K28" s="124">
        <f t="shared" si="6"/>
        <v>-3.2766999993095514E-2</v>
      </c>
      <c r="L28" s="128"/>
      <c r="M28" s="35"/>
    </row>
    <row r="29" spans="1:13" x14ac:dyDescent="0.3">
      <c r="A29" s="6" t="s">
        <v>5</v>
      </c>
      <c r="B29" s="7">
        <v>27154147.855999999</v>
      </c>
      <c r="C29" s="7">
        <v>0</v>
      </c>
      <c r="D29" s="7">
        <v>-1290154.71089859</v>
      </c>
      <c r="E29" s="7">
        <v>158450.673193903</v>
      </c>
      <c r="F29" s="7">
        <v>-174498.972334727</v>
      </c>
      <c r="G29" s="7">
        <v>10101.4649943518</v>
      </c>
      <c r="H29" s="7">
        <v>1</v>
      </c>
      <c r="I29" s="7">
        <v>-530716.59606169199</v>
      </c>
      <c r="J29" s="7">
        <f t="shared" si="5"/>
        <v>25327330.714893244</v>
      </c>
      <c r="K29" s="124">
        <f t="shared" si="6"/>
        <v>-6.7275804447794463E-2</v>
      </c>
      <c r="L29" s="128"/>
      <c r="M29" s="35"/>
    </row>
    <row r="30" spans="1:13" x14ac:dyDescent="0.3">
      <c r="A30" s="6" t="s">
        <v>6</v>
      </c>
      <c r="B30" s="7">
        <v>21367699.550999999</v>
      </c>
      <c r="C30" s="7">
        <v>-463079.17007253697</v>
      </c>
      <c r="D30" s="7">
        <v>-1047440.32461732</v>
      </c>
      <c r="E30" s="7">
        <v>25434.8641122806</v>
      </c>
      <c r="F30" s="7">
        <v>-164560.97679897799</v>
      </c>
      <c r="G30" s="7">
        <v>-263812.600892296</v>
      </c>
      <c r="H30" s="7">
        <v>1</v>
      </c>
      <c r="I30" s="7">
        <v>-149656.21921797199</v>
      </c>
      <c r="J30" s="7">
        <f t="shared" si="5"/>
        <v>19304586.123513181</v>
      </c>
      <c r="K30" s="124">
        <f t="shared" si="6"/>
        <v>-9.6552903252997369E-2</v>
      </c>
      <c r="L30" s="128"/>
    </row>
    <row r="31" spans="1:13" x14ac:dyDescent="0.3">
      <c r="A31" s="6" t="s">
        <v>7</v>
      </c>
      <c r="B31" s="7">
        <v>23500112.458000001</v>
      </c>
      <c r="C31" s="7">
        <v>-27391.739458361</v>
      </c>
      <c r="D31" s="7">
        <v>-1104327.54732484</v>
      </c>
      <c r="E31" s="7">
        <v>-32645.382013619099</v>
      </c>
      <c r="F31" s="7">
        <v>-175657.45834475601</v>
      </c>
      <c r="G31" s="7">
        <v>-293023.88897086697</v>
      </c>
      <c r="H31" s="7">
        <v>1</v>
      </c>
      <c r="I31" s="7">
        <v>-863207.21919262002</v>
      </c>
      <c r="J31" s="7">
        <f t="shared" si="5"/>
        <v>21003860.222694937</v>
      </c>
      <c r="K31" s="124">
        <f t="shared" si="6"/>
        <v>-0.10622299105021005</v>
      </c>
      <c r="L31" s="128"/>
    </row>
    <row r="32" spans="1:13" x14ac:dyDescent="0.3">
      <c r="A32" s="6" t="s">
        <v>8</v>
      </c>
      <c r="B32" s="7">
        <v>33916374.571999997</v>
      </c>
      <c r="C32" s="7">
        <v>284465.64009952801</v>
      </c>
      <c r="D32" s="7">
        <v>-1610542.4789526099</v>
      </c>
      <c r="E32" s="7">
        <v>-259881.483726037</v>
      </c>
      <c r="F32" s="7">
        <v>-337447.74830419698</v>
      </c>
      <c r="G32" s="7">
        <v>-282968.62457640201</v>
      </c>
      <c r="H32" s="7">
        <v>1</v>
      </c>
      <c r="I32" s="7">
        <v>-2129055.5036220402</v>
      </c>
      <c r="J32" s="7">
        <f t="shared" si="5"/>
        <v>29580945.372918241</v>
      </c>
      <c r="K32" s="124">
        <f t="shared" si="6"/>
        <v>-0.12782702319430428</v>
      </c>
      <c r="L32" s="128"/>
    </row>
    <row r="33" spans="1:12" x14ac:dyDescent="0.3">
      <c r="A33" s="6" t="s">
        <v>9</v>
      </c>
      <c r="B33" s="7">
        <v>23045549.241999999</v>
      </c>
      <c r="C33" s="7">
        <v>-291005.95345589</v>
      </c>
      <c r="D33" s="7">
        <v>-1127687.38818159</v>
      </c>
      <c r="E33" s="7">
        <v>-193760.14313201499</v>
      </c>
      <c r="F33" s="7">
        <v>-150424.71978023701</v>
      </c>
      <c r="G33" s="7">
        <v>84060.786656652199</v>
      </c>
      <c r="H33" s="7">
        <v>1</v>
      </c>
      <c r="I33" s="7">
        <v>1522373.6713161899</v>
      </c>
      <c r="J33" s="7">
        <f t="shared" si="5"/>
        <v>22889106.495423108</v>
      </c>
      <c r="K33" s="124">
        <f t="shared" si="6"/>
        <v>-6.7884147578386456E-3</v>
      </c>
      <c r="L33" s="128"/>
    </row>
    <row r="34" spans="1:12" x14ac:dyDescent="0.3">
      <c r="A34" s="6" t="s">
        <v>10</v>
      </c>
      <c r="B34" s="7">
        <v>28597389.811999999</v>
      </c>
      <c r="C34" s="7">
        <v>-12067.249099289</v>
      </c>
      <c r="D34" s="7">
        <v>-1270041.9399756901</v>
      </c>
      <c r="E34" s="7">
        <v>-415669.50627507601</v>
      </c>
      <c r="F34" s="7">
        <v>-200450.31679643301</v>
      </c>
      <c r="G34" s="7">
        <v>-479749.692701658</v>
      </c>
      <c r="H34" s="7">
        <v>1</v>
      </c>
      <c r="I34" s="7">
        <v>-893617.74237403099</v>
      </c>
      <c r="J34" s="7">
        <f t="shared" si="5"/>
        <v>25325794.364777822</v>
      </c>
      <c r="K34" s="124">
        <f t="shared" si="6"/>
        <v>-0.11440189012807578</v>
      </c>
      <c r="L34" s="128"/>
    </row>
    <row r="35" spans="1:12" x14ac:dyDescent="0.3">
      <c r="A35" s="6" t="s">
        <v>11</v>
      </c>
      <c r="B35" s="7">
        <v>49761728.763999999</v>
      </c>
      <c r="C35" s="7">
        <v>3261914.2648565201</v>
      </c>
      <c r="D35" s="7">
        <v>-2107632.0499168802</v>
      </c>
      <c r="E35" s="7">
        <v>-187393.68574748799</v>
      </c>
      <c r="F35" s="7">
        <v>-193929.82761853799</v>
      </c>
      <c r="G35" s="7">
        <v>-761380.01887228398</v>
      </c>
      <c r="H35" s="7">
        <v>1</v>
      </c>
      <c r="I35" s="7">
        <v>329665.53780141898</v>
      </c>
      <c r="J35" s="7">
        <f t="shared" si="5"/>
        <v>50102973.984502748</v>
      </c>
      <c r="K35" s="136">
        <f t="shared" si="6"/>
        <v>6.857583708981263E-3</v>
      </c>
      <c r="L35" s="128"/>
    </row>
    <row r="36" spans="1:12" x14ac:dyDescent="0.3">
      <c r="A36" s="8" t="s">
        <v>27</v>
      </c>
      <c r="B36" s="9">
        <f>SUM(B24:B35)</f>
        <v>346102068.29699999</v>
      </c>
      <c r="C36" s="9">
        <f t="shared" ref="C36:J36" si="7">SUM(C24:C35)</f>
        <v>1528555.0649780233</v>
      </c>
      <c r="D36" s="9">
        <f t="shared" si="7"/>
        <v>-12592664.997655781</v>
      </c>
      <c r="E36" s="9">
        <f t="shared" si="7"/>
        <v>-733954.84076018888</v>
      </c>
      <c r="F36" s="9">
        <f t="shared" si="7"/>
        <v>-1630099.304154705</v>
      </c>
      <c r="G36" s="9">
        <f t="shared" si="7"/>
        <v>-1337299.0060776828</v>
      </c>
      <c r="H36" s="9">
        <f t="shared" si="7"/>
        <v>12</v>
      </c>
      <c r="I36" s="9">
        <f t="shared" si="7"/>
        <v>1011547.8891627307</v>
      </c>
      <c r="J36" s="9">
        <f t="shared" si="7"/>
        <v>332348165.10249239</v>
      </c>
      <c r="K36" s="145">
        <f t="shared" si="6"/>
        <v>-3.9739442362144439E-2</v>
      </c>
      <c r="L36" s="128"/>
    </row>
  </sheetData>
  <mergeCells count="7">
    <mergeCell ref="M4:M5"/>
    <mergeCell ref="M9:M11"/>
    <mergeCell ref="B1:J1"/>
    <mergeCell ref="A2:J2"/>
    <mergeCell ref="A22:J22"/>
    <mergeCell ref="A19:B19"/>
    <mergeCell ref="A20:B20"/>
  </mergeCells>
  <hyperlinks>
    <hyperlink ref="C23" location="'Chile Support'!B25" display="Calendar" xr:uid="{00000000-0004-0000-0C00-000000000000}"/>
    <hyperlink ref="D23" location="'Chile Support'!N25" display="Economy" xr:uid="{00000000-0004-0000-0C00-000001000000}"/>
    <hyperlink ref="E23" location="'Chile Support'!V25" display="Affordability" xr:uid="{00000000-0004-0000-0C00-000002000000}"/>
    <hyperlink ref="F23" location="'Chile Support'!Z25" display="Competitiveness" xr:uid="{00000000-0004-0000-0C00-000003000000}"/>
    <hyperlink ref="G23" location="'Chile Support'!AD25" display="Weather" xr:uid="{00000000-0004-0000-0C00-000004000000}"/>
    <hyperlink ref="C3" location="'Chile Support'!B8" display="Calendar" xr:uid="{00000000-0004-0000-0C00-000005000000}"/>
    <hyperlink ref="D3" location="'Chile Support'!N8" display="Economy" xr:uid="{00000000-0004-0000-0C00-000006000000}"/>
    <hyperlink ref="E3" location="'Chile Support'!V8" display="Affordability" xr:uid="{00000000-0004-0000-0C00-000007000000}"/>
    <hyperlink ref="F3" location="'Chile Support'!Z8" display="Competitiveness" xr:uid="{00000000-0004-0000-0C00-000008000000}"/>
    <hyperlink ref="G3" location="'Chile Support'!AD8" display="Weather" xr:uid="{00000000-0004-0000-0C00-000009000000}"/>
    <hyperlink ref="H3" location="'Chile Support'!AH8" display="Brand" xr:uid="{00000000-0004-0000-0C00-00000A000000}"/>
    <hyperlink ref="H23" location="'Chile Support'!AH25" display="Brand" xr:uid="{00000000-0004-0000-0C00-00000B000000}"/>
  </hyperlinks>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AO39"/>
  <sheetViews>
    <sheetView showGridLines="0" zoomScale="75" zoomScaleNormal="75" workbookViewId="0">
      <pane xSplit="1" ySplit="5" topLeftCell="T6" activePane="bottomRight" state="frozen"/>
      <selection pane="topRight"/>
      <selection pane="bottomLeft"/>
      <selection pane="bottomRight" activeCell="Z27" sqref="Z27:AA38"/>
    </sheetView>
  </sheetViews>
  <sheetFormatPr baseColWidth="10" defaultColWidth="11.5546875" defaultRowHeight="14.4" x14ac:dyDescent="0.3"/>
  <cols>
    <col min="1" max="1" width="31.109375" bestFit="1" customWidth="1"/>
    <col min="2" max="3" width="11.88671875" customWidth="1"/>
    <col min="34" max="37" width="11.5546875" style="250"/>
  </cols>
  <sheetData>
    <row r="1" spans="1:41" ht="33" customHeight="1" x14ac:dyDescent="0.3">
      <c r="B1" s="315" t="s">
        <v>69</v>
      </c>
      <c r="C1" s="315"/>
      <c r="D1" s="315"/>
      <c r="E1" s="315"/>
      <c r="F1" s="315" t="s">
        <v>80</v>
      </c>
      <c r="G1" s="315"/>
      <c r="H1" s="315"/>
      <c r="I1" s="315"/>
      <c r="J1" s="316" t="s">
        <v>57</v>
      </c>
      <c r="K1" s="316"/>
      <c r="L1" s="316"/>
      <c r="M1" s="316"/>
      <c r="N1" s="315" t="s">
        <v>91</v>
      </c>
      <c r="O1" s="315"/>
      <c r="P1" s="315"/>
      <c r="Q1" s="315"/>
      <c r="R1" s="316" t="s">
        <v>36</v>
      </c>
      <c r="S1" s="316"/>
      <c r="T1" s="316"/>
      <c r="U1" s="316"/>
      <c r="V1" s="315" t="s">
        <v>92</v>
      </c>
      <c r="W1" s="315"/>
      <c r="X1" s="315"/>
      <c r="Y1" s="315"/>
      <c r="Z1" s="315" t="s">
        <v>110</v>
      </c>
      <c r="AA1" s="315"/>
      <c r="AB1" s="315"/>
      <c r="AC1" s="315"/>
      <c r="AD1" s="315" t="s">
        <v>31</v>
      </c>
      <c r="AE1" s="315"/>
      <c r="AF1" s="315"/>
      <c r="AG1" s="315"/>
      <c r="AH1" s="315" t="s">
        <v>72</v>
      </c>
      <c r="AI1" s="315"/>
      <c r="AJ1" s="315"/>
      <c r="AK1" s="315"/>
    </row>
    <row r="2" spans="1:41" x14ac:dyDescent="0.3">
      <c r="A2" s="38" t="s">
        <v>29</v>
      </c>
      <c r="B2" s="315"/>
      <c r="C2" s="315"/>
      <c r="D2" s="315"/>
      <c r="E2" s="315"/>
      <c r="F2" s="315"/>
      <c r="G2" s="315"/>
      <c r="H2" s="315"/>
      <c r="I2" s="315"/>
      <c r="J2" s="316"/>
      <c r="K2" s="316"/>
      <c r="L2" s="316"/>
      <c r="M2" s="316"/>
      <c r="N2" s="315"/>
      <c r="O2" s="315"/>
      <c r="P2" s="315"/>
      <c r="Q2" s="315"/>
      <c r="R2" s="316"/>
      <c r="S2" s="316"/>
      <c r="T2" s="316"/>
      <c r="U2" s="316"/>
      <c r="V2" s="315"/>
      <c r="W2" s="315"/>
      <c r="X2" s="315"/>
      <c r="Y2" s="315"/>
      <c r="Z2" s="315"/>
      <c r="AA2" s="315"/>
      <c r="AB2" s="315"/>
      <c r="AC2" s="315"/>
      <c r="AD2" s="315"/>
      <c r="AE2" s="315"/>
      <c r="AF2" s="315"/>
      <c r="AG2" s="315"/>
      <c r="AH2" s="315"/>
      <c r="AI2" s="315"/>
      <c r="AJ2" s="315"/>
      <c r="AK2" s="315"/>
    </row>
    <row r="3" spans="1:41" x14ac:dyDescent="0.3">
      <c r="A3" s="32" t="s">
        <v>30</v>
      </c>
      <c r="B3" s="315"/>
      <c r="C3" s="315"/>
      <c r="D3" s="315"/>
      <c r="E3" s="315"/>
      <c r="F3" s="315"/>
      <c r="G3" s="315"/>
      <c r="H3" s="315"/>
      <c r="I3" s="315"/>
      <c r="J3" s="316"/>
      <c r="K3" s="316"/>
      <c r="L3" s="316"/>
      <c r="M3" s="316"/>
      <c r="N3" s="315"/>
      <c r="O3" s="315"/>
      <c r="P3" s="315"/>
      <c r="Q3" s="315"/>
      <c r="R3" s="316"/>
      <c r="S3" s="316"/>
      <c r="T3" s="316"/>
      <c r="U3" s="316"/>
      <c r="V3" s="315"/>
      <c r="W3" s="315"/>
      <c r="X3" s="315"/>
      <c r="Y3" s="315"/>
      <c r="Z3" s="315"/>
      <c r="AA3" s="315"/>
      <c r="AB3" s="315"/>
      <c r="AC3" s="315"/>
      <c r="AD3" s="315"/>
      <c r="AE3" s="315"/>
      <c r="AF3" s="315"/>
      <c r="AG3" s="315"/>
      <c r="AH3" s="315"/>
      <c r="AI3" s="315"/>
      <c r="AJ3" s="315"/>
      <c r="AK3" s="315"/>
    </row>
    <row r="4" spans="1:41" ht="14.25" customHeight="1" x14ac:dyDescent="0.3">
      <c r="A4" s="85" t="s">
        <v>42</v>
      </c>
      <c r="B4" s="315"/>
      <c r="C4" s="315"/>
      <c r="D4" s="315"/>
      <c r="E4" s="315"/>
      <c r="F4" s="315"/>
      <c r="G4" s="315"/>
      <c r="H4" s="315"/>
      <c r="I4" s="315"/>
      <c r="J4" s="316"/>
      <c r="K4" s="316"/>
      <c r="L4" s="316"/>
      <c r="M4" s="316"/>
      <c r="N4" s="315"/>
      <c r="O4" s="315"/>
      <c r="P4" s="315"/>
      <c r="Q4" s="315"/>
      <c r="R4" s="316"/>
      <c r="S4" s="316"/>
      <c r="T4" s="316"/>
      <c r="U4" s="316"/>
      <c r="V4" s="315"/>
      <c r="W4" s="315"/>
      <c r="X4" s="315"/>
      <c r="Y4" s="315"/>
      <c r="Z4" s="315"/>
      <c r="AA4" s="315"/>
      <c r="AB4" s="315"/>
      <c r="AC4" s="315"/>
      <c r="AD4" s="315"/>
      <c r="AE4" s="315"/>
      <c r="AF4" s="315"/>
      <c r="AG4" s="315"/>
      <c r="AH4" s="315"/>
      <c r="AI4" s="315"/>
      <c r="AJ4" s="315"/>
      <c r="AK4" s="315"/>
      <c r="AL4" s="31"/>
      <c r="AM4" s="31"/>
      <c r="AN4" s="31"/>
      <c r="AO4" s="31"/>
    </row>
    <row r="5" spans="1:41" s="3" customFormat="1" ht="14.25" customHeight="1" x14ac:dyDescent="0.3">
      <c r="A5" s="82" t="s">
        <v>56</v>
      </c>
      <c r="B5" s="315"/>
      <c r="C5" s="315"/>
      <c r="D5" s="315"/>
      <c r="E5" s="315"/>
      <c r="F5" s="315"/>
      <c r="G5" s="315"/>
      <c r="H5" s="315"/>
      <c r="I5" s="315"/>
      <c r="J5" s="316"/>
      <c r="K5" s="316"/>
      <c r="L5" s="316"/>
      <c r="M5" s="316"/>
      <c r="N5" s="315"/>
      <c r="O5" s="315"/>
      <c r="P5" s="315"/>
      <c r="Q5" s="315"/>
      <c r="R5" s="316"/>
      <c r="S5" s="316"/>
      <c r="T5" s="316"/>
      <c r="U5" s="316"/>
      <c r="V5" s="315"/>
      <c r="W5" s="315"/>
      <c r="X5" s="315"/>
      <c r="Y5" s="315"/>
      <c r="Z5" s="315"/>
      <c r="AA5" s="315"/>
      <c r="AB5" s="315"/>
      <c r="AC5" s="315"/>
      <c r="AD5" s="315"/>
      <c r="AE5" s="315"/>
      <c r="AF5" s="315"/>
      <c r="AG5" s="315"/>
      <c r="AH5" s="315"/>
      <c r="AI5" s="315"/>
      <c r="AJ5" s="315"/>
      <c r="AK5" s="315"/>
      <c r="AL5" s="32"/>
      <c r="AM5" s="32"/>
      <c r="AN5" s="32"/>
      <c r="AO5" s="32"/>
    </row>
    <row r="6" spans="1:41" ht="15" thickBot="1" x14ac:dyDescent="0.35">
      <c r="A6" s="39" t="str">
        <f>"Chile - "&amp;'Chile DT'!A2:J2</f>
        <v>Chile - w47</v>
      </c>
      <c r="B6" s="33"/>
      <c r="C6" s="33"/>
      <c r="D6" s="33"/>
      <c r="E6" s="33"/>
      <c r="F6" s="33"/>
      <c r="G6" s="33"/>
      <c r="J6" s="33"/>
      <c r="K6" s="33"/>
      <c r="N6" s="29"/>
      <c r="O6" s="29"/>
    </row>
    <row r="7" spans="1:41" ht="15.75" customHeight="1" thickBot="1" x14ac:dyDescent="0.35">
      <c r="A7" s="30"/>
      <c r="B7" s="320" t="s">
        <v>21</v>
      </c>
      <c r="C7" s="327"/>
      <c r="D7" s="327"/>
      <c r="E7" s="327"/>
      <c r="F7" s="327"/>
      <c r="G7" s="327"/>
      <c r="H7" s="327"/>
      <c r="I7" s="327"/>
      <c r="J7" s="327"/>
      <c r="K7" s="327"/>
      <c r="L7" s="327"/>
      <c r="M7" s="327"/>
      <c r="N7" s="313" t="s">
        <v>22</v>
      </c>
      <c r="O7" s="313"/>
      <c r="P7" s="313"/>
      <c r="Q7" s="313"/>
      <c r="R7" s="312" t="s">
        <v>41</v>
      </c>
      <c r="S7" s="313"/>
      <c r="T7" s="313"/>
      <c r="U7" s="314"/>
      <c r="V7" s="312" t="s">
        <v>23</v>
      </c>
      <c r="W7" s="313"/>
      <c r="X7" s="313"/>
      <c r="Y7" s="313"/>
      <c r="Z7" s="312" t="s">
        <v>24</v>
      </c>
      <c r="AA7" s="313"/>
      <c r="AB7" s="313"/>
      <c r="AC7" s="314"/>
      <c r="AD7" s="312" t="s">
        <v>25</v>
      </c>
      <c r="AE7" s="313"/>
      <c r="AF7" s="313"/>
      <c r="AG7" s="313"/>
      <c r="AH7" s="312" t="s">
        <v>60</v>
      </c>
      <c r="AI7" s="313"/>
      <c r="AJ7" s="313"/>
      <c r="AK7" s="314"/>
    </row>
    <row r="8" spans="1:41" ht="15" thickBot="1" x14ac:dyDescent="0.35">
      <c r="A8" s="2"/>
      <c r="B8" s="312" t="s">
        <v>68</v>
      </c>
      <c r="C8" s="313"/>
      <c r="D8" s="313"/>
      <c r="E8" s="314"/>
      <c r="F8" s="312" t="s">
        <v>81</v>
      </c>
      <c r="G8" s="313"/>
      <c r="H8" s="313"/>
      <c r="I8" s="314"/>
      <c r="J8" s="312" t="s">
        <v>57</v>
      </c>
      <c r="K8" s="313"/>
      <c r="L8" s="313"/>
      <c r="M8" s="314"/>
      <c r="N8" s="312" t="s">
        <v>20</v>
      </c>
      <c r="O8" s="313"/>
      <c r="P8" s="313"/>
      <c r="Q8" s="314"/>
      <c r="R8" s="312" t="s">
        <v>35</v>
      </c>
      <c r="S8" s="313"/>
      <c r="T8" s="313"/>
      <c r="U8" s="314"/>
      <c r="V8" s="312" t="s">
        <v>84</v>
      </c>
      <c r="W8" s="313"/>
      <c r="X8" s="313"/>
      <c r="Y8" s="314"/>
      <c r="Z8" s="312" t="s">
        <v>109</v>
      </c>
      <c r="AA8" s="313"/>
      <c r="AB8" s="313"/>
      <c r="AC8" s="314"/>
      <c r="AD8" s="312" t="s">
        <v>16</v>
      </c>
      <c r="AE8" s="313"/>
      <c r="AF8" s="313"/>
      <c r="AG8" s="314"/>
      <c r="AH8" s="312" t="s">
        <v>71</v>
      </c>
      <c r="AI8" s="313"/>
      <c r="AJ8" s="313"/>
      <c r="AK8" s="314"/>
    </row>
    <row r="9" spans="1:41" x14ac:dyDescent="0.3">
      <c r="A9" s="1"/>
      <c r="B9" s="12">
        <v>2020</v>
      </c>
      <c r="C9" s="13">
        <v>2021</v>
      </c>
      <c r="D9" s="13" t="s">
        <v>12</v>
      </c>
      <c r="E9" s="14" t="s">
        <v>13</v>
      </c>
      <c r="F9" s="12">
        <v>2020</v>
      </c>
      <c r="G9" s="13">
        <v>2021</v>
      </c>
      <c r="H9" s="13" t="s">
        <v>12</v>
      </c>
      <c r="I9" s="14" t="s">
        <v>13</v>
      </c>
      <c r="J9" s="44">
        <v>2020</v>
      </c>
      <c r="K9" s="45">
        <v>2021</v>
      </c>
      <c r="L9" s="45" t="s">
        <v>12</v>
      </c>
      <c r="M9" s="46" t="s">
        <v>13</v>
      </c>
      <c r="N9" s="12">
        <v>2020</v>
      </c>
      <c r="O9" s="13">
        <v>2021</v>
      </c>
      <c r="P9" s="13" t="s">
        <v>12</v>
      </c>
      <c r="Q9" s="14" t="s">
        <v>13</v>
      </c>
      <c r="R9" s="44">
        <v>2020</v>
      </c>
      <c r="S9" s="45">
        <v>2021</v>
      </c>
      <c r="T9" s="45" t="s">
        <v>12</v>
      </c>
      <c r="U9" s="46" t="s">
        <v>13</v>
      </c>
      <c r="V9" s="265">
        <v>2020</v>
      </c>
      <c r="W9" s="266">
        <v>2021</v>
      </c>
      <c r="X9" s="266" t="s">
        <v>12</v>
      </c>
      <c r="Y9" s="267" t="s">
        <v>13</v>
      </c>
      <c r="Z9" s="12">
        <v>2020</v>
      </c>
      <c r="AA9" s="13">
        <v>2021</v>
      </c>
      <c r="AB9" s="13" t="s">
        <v>12</v>
      </c>
      <c r="AC9" s="14" t="s">
        <v>13</v>
      </c>
      <c r="AD9" s="12">
        <v>2020</v>
      </c>
      <c r="AE9" s="13">
        <v>2021</v>
      </c>
      <c r="AF9" s="13" t="s">
        <v>12</v>
      </c>
      <c r="AG9" s="14" t="s">
        <v>13</v>
      </c>
      <c r="AH9" s="12">
        <v>2020</v>
      </c>
      <c r="AI9" s="13">
        <v>2021</v>
      </c>
      <c r="AJ9" s="13" t="s">
        <v>12</v>
      </c>
      <c r="AK9" s="14" t="s">
        <v>13</v>
      </c>
    </row>
    <row r="10" spans="1:41" x14ac:dyDescent="0.3">
      <c r="A10" s="1" t="s">
        <v>0</v>
      </c>
      <c r="B10" s="23">
        <v>25</v>
      </c>
      <c r="C10" s="24">
        <v>24</v>
      </c>
      <c r="D10" s="24">
        <f>C10-B10</f>
        <v>-1</v>
      </c>
      <c r="E10" s="17">
        <f>(C10-B10)/B10</f>
        <v>-0.04</v>
      </c>
      <c r="F10" s="15">
        <v>0.83035714275000005</v>
      </c>
      <c r="G10" s="16">
        <v>0.80952380925</v>
      </c>
      <c r="H10" s="16">
        <f>G10-F10</f>
        <v>-2.0833333500000051E-2</v>
      </c>
      <c r="I10" s="17">
        <f>(G10-F10)/F10</f>
        <v>-2.50896059387213E-2</v>
      </c>
      <c r="J10" s="76">
        <v>21</v>
      </c>
      <c r="K10" s="77">
        <v>20</v>
      </c>
      <c r="L10" s="77">
        <f>K10-J10</f>
        <v>-1</v>
      </c>
      <c r="M10" s="50">
        <f>(K10-J10)/J10</f>
        <v>-4.7619047619047616E-2</v>
      </c>
      <c r="N10" s="61">
        <v>37957.131976657998</v>
      </c>
      <c r="O10" s="62">
        <v>38046.517751389001</v>
      </c>
      <c r="P10" s="261">
        <f>O10-N10</f>
        <v>89.385774731003039</v>
      </c>
      <c r="Q10" s="17">
        <f>(O10-N10)/N10</f>
        <v>2.3549138218865282E-3</v>
      </c>
      <c r="R10" s="71">
        <v>1.0930047694752698E-3</v>
      </c>
      <c r="S10" s="72">
        <v>5.5952151263747307E-3</v>
      </c>
      <c r="T10" s="73">
        <f>S10-R10</f>
        <v>4.5022103568994609E-3</v>
      </c>
      <c r="U10" s="50">
        <f>(S10-R10)/ABS(R10)</f>
        <v>4.1191131847127105</v>
      </c>
      <c r="V10" s="268">
        <v>3883.1254318756901</v>
      </c>
      <c r="W10" s="269">
        <v>4057.2438970323801</v>
      </c>
      <c r="X10" s="269">
        <f t="shared" ref="X10:X22" si="0">W10-V10</f>
        <v>174.11846515669004</v>
      </c>
      <c r="Y10" s="270">
        <f t="shared" ref="Y10:Y22" si="1">(W10-V10)/V10</f>
        <v>4.4839773582226142E-2</v>
      </c>
      <c r="Z10" s="15">
        <v>1.02469674806054</v>
      </c>
      <c r="AA10" s="16">
        <v>1.0373167326736901</v>
      </c>
      <c r="AB10" s="16">
        <f>AA10-Z10</f>
        <v>1.2619984613150059E-2</v>
      </c>
      <c r="AC10" s="17">
        <f>(AA10-Z10)/Z10</f>
        <v>1.2315823815227389E-2</v>
      </c>
      <c r="AD10" s="15">
        <v>28.86160714275</v>
      </c>
      <c r="AE10" s="16">
        <v>29.696428570999998</v>
      </c>
      <c r="AF10" s="16">
        <f>AE10-AD10</f>
        <v>0.83482142824999883</v>
      </c>
      <c r="AG10" s="17">
        <f>(AE10-AD10)/AD10</f>
        <v>2.8924980654090323E-2</v>
      </c>
      <c r="AH10" s="15">
        <v>30.726466492499998</v>
      </c>
      <c r="AI10" s="16">
        <v>31.470912755000001</v>
      </c>
      <c r="AJ10" s="16">
        <f>AI10-AH10</f>
        <v>0.74444626250000212</v>
      </c>
      <c r="AK10" s="17">
        <f>(AI10-AH10)/AH10</f>
        <v>2.422817679610877E-2</v>
      </c>
    </row>
    <row r="11" spans="1:41" x14ac:dyDescent="0.3">
      <c r="A11" s="1" t="s">
        <v>1</v>
      </c>
      <c r="B11" s="23">
        <v>28</v>
      </c>
      <c r="C11" s="24">
        <v>28</v>
      </c>
      <c r="D11" s="24">
        <f t="shared" ref="D11:D22" si="2">C11-B11</f>
        <v>0</v>
      </c>
      <c r="E11" s="17">
        <f t="shared" ref="E11:E22" si="3">(C11-B11)/B11</f>
        <v>0</v>
      </c>
      <c r="F11" s="15">
        <v>0.85714285700000004</v>
      </c>
      <c r="G11" s="16">
        <v>0.85714285700000004</v>
      </c>
      <c r="H11" s="16">
        <f t="shared" ref="H11:H22" si="4">G11-F11</f>
        <v>0</v>
      </c>
      <c r="I11" s="17">
        <f t="shared" ref="I11:I22" si="5">(G11-F11)/F11</f>
        <v>0</v>
      </c>
      <c r="J11" s="76">
        <v>24</v>
      </c>
      <c r="K11" s="77">
        <v>24</v>
      </c>
      <c r="L11" s="77">
        <f t="shared" ref="L11:L22" si="6">K11-J11</f>
        <v>0</v>
      </c>
      <c r="M11" s="50">
        <f t="shared" ref="M11:M22" si="7">(K11-J11)/J11</f>
        <v>0</v>
      </c>
      <c r="N11" s="61">
        <v>37957.131976657998</v>
      </c>
      <c r="O11" s="62">
        <v>38046.517751389001</v>
      </c>
      <c r="P11" s="261">
        <f t="shared" ref="P11:P22" si="8">O11-N11</f>
        <v>89.385774731003039</v>
      </c>
      <c r="Q11" s="17">
        <f t="shared" ref="Q11:Q22" si="9">(O11-N11)/N11</f>
        <v>2.3549138218865282E-3</v>
      </c>
      <c r="R11" s="71">
        <v>3.9702233250626939E-4</v>
      </c>
      <c r="S11" s="72">
        <v>4.5088257866461312E-3</v>
      </c>
      <c r="T11" s="73">
        <f t="shared" ref="T11:T22" si="10">S11-R11</f>
        <v>4.1118034541398618E-3</v>
      </c>
      <c r="U11" s="50">
        <f t="shared" ref="U11:U22" si="11">(S11-R11)/ABS(R11)</f>
        <v>10.356604950113057</v>
      </c>
      <c r="V11" s="268">
        <v>3949.35169391096</v>
      </c>
      <c r="W11" s="269">
        <v>4134.86298664471</v>
      </c>
      <c r="X11" s="269">
        <f t="shared" si="0"/>
        <v>185.51129273375</v>
      </c>
      <c r="Y11" s="270">
        <f t="shared" si="1"/>
        <v>4.697259376007662E-2</v>
      </c>
      <c r="Z11" s="15">
        <v>1.0336329824650199</v>
      </c>
      <c r="AA11" s="16">
        <v>1.0411837019424799</v>
      </c>
      <c r="AB11" s="16">
        <f t="shared" ref="AB11:AB22" si="12">AA11-Z11</f>
        <v>7.5507194774599995E-3</v>
      </c>
      <c r="AC11" s="17">
        <f t="shared" ref="AC11:AC22" si="13">(AA11-Z11)/Z11</f>
        <v>7.3050295468058265E-3</v>
      </c>
      <c r="AD11" s="15">
        <v>30.910714285249998</v>
      </c>
      <c r="AE11" s="16">
        <v>30.160714285499999</v>
      </c>
      <c r="AF11" s="16">
        <f t="shared" ref="AF11:AF22" si="14">AE11-AD11</f>
        <v>-0.74999999974999909</v>
      </c>
      <c r="AG11" s="17">
        <f t="shared" ref="AG11:AG22" si="15">(AE11-AD11)/AD11</f>
        <v>-2.426343153473761E-2</v>
      </c>
      <c r="AH11" s="15">
        <v>30.926132602500001</v>
      </c>
      <c r="AI11" s="16">
        <v>31.744990274999999</v>
      </c>
      <c r="AJ11" s="16">
        <f t="shared" ref="AJ11:AJ22" si="16">AI11-AH11</f>
        <v>0.8188576724999983</v>
      </c>
      <c r="AK11" s="17">
        <f t="shared" ref="AK11:AK22" si="17">(AI11-AH11)/AH11</f>
        <v>2.6477855573632365E-2</v>
      </c>
    </row>
    <row r="12" spans="1:41" x14ac:dyDescent="0.3">
      <c r="A12" s="1" t="s">
        <v>2</v>
      </c>
      <c r="B12" s="23">
        <v>35</v>
      </c>
      <c r="C12" s="24">
        <v>35</v>
      </c>
      <c r="D12" s="24">
        <f t="shared" si="2"/>
        <v>0</v>
      </c>
      <c r="E12" s="17">
        <f t="shared" si="3"/>
        <v>0</v>
      </c>
      <c r="F12" s="15">
        <v>0.85714285700000004</v>
      </c>
      <c r="G12" s="16">
        <v>0.85714285700000004</v>
      </c>
      <c r="H12" s="16">
        <f t="shared" si="4"/>
        <v>0</v>
      </c>
      <c r="I12" s="17">
        <f t="shared" si="5"/>
        <v>0</v>
      </c>
      <c r="J12" s="76">
        <v>30</v>
      </c>
      <c r="K12" s="77">
        <v>30</v>
      </c>
      <c r="L12" s="77">
        <f t="shared" si="6"/>
        <v>0</v>
      </c>
      <c r="M12" s="50">
        <f t="shared" si="7"/>
        <v>0</v>
      </c>
      <c r="N12" s="61">
        <v>37957.131976657998</v>
      </c>
      <c r="O12" s="62">
        <v>38046.517751389001</v>
      </c>
      <c r="P12" s="261">
        <f t="shared" si="8"/>
        <v>89.385774731003039</v>
      </c>
      <c r="Q12" s="17">
        <f t="shared" si="9"/>
        <v>2.3549138218865282E-3</v>
      </c>
      <c r="R12" s="71">
        <v>4.7623772199620884E-3</v>
      </c>
      <c r="S12" s="72">
        <v>3.3425651800211842E-3</v>
      </c>
      <c r="T12" s="73">
        <f t="shared" si="10"/>
        <v>-1.4198120399409042E-3</v>
      </c>
      <c r="U12" s="50">
        <f t="shared" si="11"/>
        <v>-0.29813094897010423</v>
      </c>
      <c r="V12" s="268">
        <v>3940.9878549257401</v>
      </c>
      <c r="W12" s="269">
        <v>4134.86298664471</v>
      </c>
      <c r="X12" s="269">
        <f t="shared" si="0"/>
        <v>193.8751317189699</v>
      </c>
      <c r="Y12" s="270">
        <f t="shared" si="1"/>
        <v>4.9194551938710071E-2</v>
      </c>
      <c r="Z12" s="15">
        <v>1.05349061796012</v>
      </c>
      <c r="AA12" s="16">
        <v>1.0626729128546299</v>
      </c>
      <c r="AB12" s="16">
        <f t="shared" si="12"/>
        <v>9.1822948945099458E-3</v>
      </c>
      <c r="AC12" s="17">
        <f t="shared" si="13"/>
        <v>8.7160670802077737E-3</v>
      </c>
      <c r="AD12" s="15">
        <v>27.568571428199999</v>
      </c>
      <c r="AE12" s="16">
        <v>28.779999999600001</v>
      </c>
      <c r="AF12" s="16">
        <f t="shared" si="14"/>
        <v>1.2114285714000026</v>
      </c>
      <c r="AG12" s="17">
        <f t="shared" si="15"/>
        <v>4.3942377447996006E-2</v>
      </c>
      <c r="AH12" s="15">
        <v>28.206274698000001</v>
      </c>
      <c r="AI12" s="16">
        <v>30.783296016000001</v>
      </c>
      <c r="AJ12" s="16">
        <f t="shared" si="16"/>
        <v>2.5770213179999999</v>
      </c>
      <c r="AK12" s="17">
        <f t="shared" si="17"/>
        <v>9.1363405681599161E-2</v>
      </c>
    </row>
    <row r="13" spans="1:41" x14ac:dyDescent="0.3">
      <c r="A13" s="1" t="s">
        <v>3</v>
      </c>
      <c r="B13" s="23">
        <v>28</v>
      </c>
      <c r="C13" s="24">
        <v>28</v>
      </c>
      <c r="D13" s="24">
        <f t="shared" si="2"/>
        <v>0</v>
      </c>
      <c r="E13" s="17">
        <f t="shared" si="3"/>
        <v>0</v>
      </c>
      <c r="F13" s="15">
        <v>0.82142857125000002</v>
      </c>
      <c r="G13" s="16">
        <v>0.7857142855</v>
      </c>
      <c r="H13" s="16">
        <f t="shared" si="4"/>
        <v>-3.5714285750000019E-2</v>
      </c>
      <c r="I13" s="17">
        <f t="shared" si="5"/>
        <v>-4.3478260922495293E-2</v>
      </c>
      <c r="J13" s="76">
        <v>23</v>
      </c>
      <c r="K13" s="77">
        <v>22</v>
      </c>
      <c r="L13" s="77">
        <f t="shared" si="6"/>
        <v>-1</v>
      </c>
      <c r="M13" s="50">
        <f t="shared" si="7"/>
        <v>-4.3478260869565216E-2</v>
      </c>
      <c r="N13" s="61">
        <v>39499.553514897001</v>
      </c>
      <c r="O13" s="62">
        <v>33924.652773059999</v>
      </c>
      <c r="P13" s="261">
        <f t="shared" si="8"/>
        <v>-5574.900741837002</v>
      </c>
      <c r="Q13" s="17">
        <f t="shared" si="9"/>
        <v>-0.14113832298723236</v>
      </c>
      <c r="R13" s="71">
        <v>2.6661400217242726E-3</v>
      </c>
      <c r="S13" s="72">
        <v>-4.7591852274886381E-4</v>
      </c>
      <c r="T13" s="73">
        <f t="shared" si="10"/>
        <v>-3.1420585444731364E-3</v>
      </c>
      <c r="U13" s="50">
        <f t="shared" si="11"/>
        <v>-1.1785046992547199</v>
      </c>
      <c r="V13" s="268">
        <v>4026.17938643654</v>
      </c>
      <c r="W13" s="269">
        <v>4134.86298664471</v>
      </c>
      <c r="X13" s="269">
        <f t="shared" si="0"/>
        <v>108.68360020816999</v>
      </c>
      <c r="Y13" s="270">
        <f t="shared" si="1"/>
        <v>2.699422697714491E-2</v>
      </c>
      <c r="Z13" s="15">
        <v>1.0254535293965901</v>
      </c>
      <c r="AA13" s="16">
        <v>1.0625611765760301</v>
      </c>
      <c r="AB13" s="16">
        <f t="shared" si="12"/>
        <v>3.710764717944004E-2</v>
      </c>
      <c r="AC13" s="17">
        <f t="shared" si="13"/>
        <v>3.6186571225002635E-2</v>
      </c>
      <c r="AD13" s="15">
        <v>23.839285713999999</v>
      </c>
      <c r="AE13" s="16">
        <v>25.803571428000001</v>
      </c>
      <c r="AF13" s="16">
        <f t="shared" si="14"/>
        <v>1.9642857140000025</v>
      </c>
      <c r="AG13" s="17">
        <f t="shared" si="15"/>
        <v>8.2397003734320975E-2</v>
      </c>
      <c r="AH13" s="15">
        <v>26.548912207499999</v>
      </c>
      <c r="AI13" s="16">
        <v>26.364061732500002</v>
      </c>
      <c r="AJ13" s="16">
        <f t="shared" si="16"/>
        <v>-0.18485047499999752</v>
      </c>
      <c r="AK13" s="17">
        <f t="shared" si="17"/>
        <v>-6.9626383768664445E-3</v>
      </c>
    </row>
    <row r="14" spans="1:41" x14ac:dyDescent="0.3">
      <c r="A14" s="1" t="s">
        <v>4</v>
      </c>
      <c r="B14" s="23">
        <v>28</v>
      </c>
      <c r="C14" s="24">
        <v>28</v>
      </c>
      <c r="D14" s="24">
        <f t="shared" si="2"/>
        <v>0</v>
      </c>
      <c r="E14" s="17">
        <f t="shared" si="3"/>
        <v>0</v>
      </c>
      <c r="F14" s="15">
        <v>0.82142857125000002</v>
      </c>
      <c r="G14" s="16">
        <v>0.7857142855</v>
      </c>
      <c r="H14" s="16">
        <f t="shared" si="4"/>
        <v>-3.5714285750000019E-2</v>
      </c>
      <c r="I14" s="17">
        <f t="shared" si="5"/>
        <v>-4.3478260922495293E-2</v>
      </c>
      <c r="J14" s="76">
        <v>23</v>
      </c>
      <c r="K14" s="77">
        <v>22</v>
      </c>
      <c r="L14" s="77">
        <f t="shared" si="6"/>
        <v>-1</v>
      </c>
      <c r="M14" s="50">
        <f t="shared" si="7"/>
        <v>-4.3478260869565216E-2</v>
      </c>
      <c r="N14" s="61">
        <v>39499.553514897001</v>
      </c>
      <c r="O14" s="62">
        <v>33924.652773059999</v>
      </c>
      <c r="P14" s="261">
        <f t="shared" si="8"/>
        <v>-5574.900741837002</v>
      </c>
      <c r="Q14" s="17">
        <f t="shared" si="9"/>
        <v>-0.14113832298723236</v>
      </c>
      <c r="R14" s="71">
        <v>6.0074847350797267E-3</v>
      </c>
      <c r="S14" s="72">
        <v>-4.7614512903548789E-4</v>
      </c>
      <c r="T14" s="73">
        <f t="shared" si="10"/>
        <v>-6.4836298641152146E-3</v>
      </c>
      <c r="U14" s="50">
        <f t="shared" si="11"/>
        <v>-1.0792586498397767</v>
      </c>
      <c r="V14" s="268">
        <v>4099.0008555598397</v>
      </c>
      <c r="W14" s="269">
        <v>4134.86298664471</v>
      </c>
      <c r="X14" s="269">
        <f t="shared" si="0"/>
        <v>35.862131084870271</v>
      </c>
      <c r="Y14" s="270">
        <f t="shared" si="1"/>
        <v>8.7489933153410467E-3</v>
      </c>
      <c r="Z14" s="15">
        <v>1.03057981733982</v>
      </c>
      <c r="AA14" s="16">
        <v>1.06166493609623</v>
      </c>
      <c r="AB14" s="16">
        <f t="shared" si="12"/>
        <v>3.1085118756410068E-2</v>
      </c>
      <c r="AC14" s="17">
        <f t="shared" si="13"/>
        <v>3.0162747448953937E-2</v>
      </c>
      <c r="AD14" s="15">
        <v>20.717857142749999</v>
      </c>
      <c r="AE14" s="16">
        <v>22.15357142825</v>
      </c>
      <c r="AF14" s="16">
        <f t="shared" si="14"/>
        <v>1.4357142855000014</v>
      </c>
      <c r="AG14" s="17">
        <f t="shared" si="15"/>
        <v>6.9298396818148478E-2</v>
      </c>
      <c r="AH14" s="15">
        <v>21.863471244999999</v>
      </c>
      <c r="AI14" s="16">
        <v>23.355679117499999</v>
      </c>
      <c r="AJ14" s="16">
        <f t="shared" si="16"/>
        <v>1.4922078724999999</v>
      </c>
      <c r="AK14" s="17">
        <f t="shared" si="17"/>
        <v>6.825118736994959E-2</v>
      </c>
    </row>
    <row r="15" spans="1:41" x14ac:dyDescent="0.3">
      <c r="A15" s="1" t="s">
        <v>5</v>
      </c>
      <c r="B15" s="23">
        <v>35</v>
      </c>
      <c r="C15" s="24">
        <v>35</v>
      </c>
      <c r="D15" s="24">
        <f t="shared" si="2"/>
        <v>0</v>
      </c>
      <c r="E15" s="17">
        <f t="shared" si="3"/>
        <v>0</v>
      </c>
      <c r="F15" s="15">
        <v>0.85714285700000004</v>
      </c>
      <c r="G15" s="16">
        <v>0.85714285700000004</v>
      </c>
      <c r="H15" s="16">
        <f t="shared" si="4"/>
        <v>0</v>
      </c>
      <c r="I15" s="17">
        <f t="shared" si="5"/>
        <v>0</v>
      </c>
      <c r="J15" s="76">
        <v>30</v>
      </c>
      <c r="K15" s="77">
        <v>30</v>
      </c>
      <c r="L15" s="77">
        <f t="shared" si="6"/>
        <v>0</v>
      </c>
      <c r="M15" s="50">
        <f t="shared" si="7"/>
        <v>0</v>
      </c>
      <c r="N15" s="61">
        <v>39499.553514897001</v>
      </c>
      <c r="O15" s="62">
        <v>33924.652773059999</v>
      </c>
      <c r="P15" s="261">
        <f t="shared" si="8"/>
        <v>-5574.900741837002</v>
      </c>
      <c r="Q15" s="17">
        <f t="shared" si="9"/>
        <v>-0.14113832298723236</v>
      </c>
      <c r="R15" s="71">
        <v>4.8947626040130032E-4</v>
      </c>
      <c r="S15" s="72">
        <v>-6.6692073170726562E-4</v>
      </c>
      <c r="T15" s="73">
        <f t="shared" si="10"/>
        <v>-1.1563969921085659E-3</v>
      </c>
      <c r="U15" s="50">
        <f t="shared" si="11"/>
        <v>-2.3625190548781392</v>
      </c>
      <c r="V15" s="268">
        <v>4059.7521062595902</v>
      </c>
      <c r="W15" s="269">
        <v>4134.86298664471</v>
      </c>
      <c r="X15" s="269">
        <f t="shared" si="0"/>
        <v>75.110880385119799</v>
      </c>
      <c r="Y15" s="270">
        <f t="shared" si="1"/>
        <v>1.8501346490912327E-2</v>
      </c>
      <c r="Z15" s="15">
        <v>1.0250466957276601</v>
      </c>
      <c r="AA15" s="16">
        <v>1.0885132108392599</v>
      </c>
      <c r="AB15" s="16">
        <f t="shared" si="12"/>
        <v>6.3466515111599842E-2</v>
      </c>
      <c r="AC15" s="17">
        <f t="shared" si="13"/>
        <v>6.1915730645369517E-2</v>
      </c>
      <c r="AD15" s="15">
        <v>16.919999999600002</v>
      </c>
      <c r="AE15" s="16">
        <v>16.9999999998</v>
      </c>
      <c r="AF15" s="16">
        <f t="shared" si="14"/>
        <v>8.0000000199998311E-2</v>
      </c>
      <c r="AG15" s="17">
        <f t="shared" si="15"/>
        <v>4.7281323996388623E-3</v>
      </c>
      <c r="AH15" s="15">
        <v>17.837220252000002</v>
      </c>
      <c r="AI15" s="16">
        <v>20.273258802000001</v>
      </c>
      <c r="AJ15" s="16">
        <f t="shared" si="16"/>
        <v>2.4360385499999992</v>
      </c>
      <c r="AK15" s="17">
        <f t="shared" si="17"/>
        <v>0.13657052587702717</v>
      </c>
    </row>
    <row r="16" spans="1:41" x14ac:dyDescent="0.3">
      <c r="A16" s="1" t="s">
        <v>6</v>
      </c>
      <c r="B16" s="23">
        <v>28</v>
      </c>
      <c r="C16" s="24">
        <v>28</v>
      </c>
      <c r="D16" s="24">
        <f t="shared" si="2"/>
        <v>0</v>
      </c>
      <c r="E16" s="17">
        <f t="shared" si="3"/>
        <v>0</v>
      </c>
      <c r="F16" s="15">
        <v>0.85714285700000004</v>
      </c>
      <c r="G16" s="16">
        <v>0.7857142855</v>
      </c>
      <c r="H16" s="16">
        <f t="shared" si="4"/>
        <v>-7.1428571500000038E-2</v>
      </c>
      <c r="I16" s="17">
        <f t="shared" si="5"/>
        <v>-8.3333333430555601E-2</v>
      </c>
      <c r="J16" s="76">
        <v>24</v>
      </c>
      <c r="K16" s="77">
        <v>22</v>
      </c>
      <c r="L16" s="77">
        <f t="shared" si="6"/>
        <v>-2</v>
      </c>
      <c r="M16" s="50">
        <f t="shared" si="7"/>
        <v>-8.3333333333333329E-2</v>
      </c>
      <c r="N16" s="61">
        <v>38066.044998646998</v>
      </c>
      <c r="O16" s="62">
        <v>34711.055961499842</v>
      </c>
      <c r="P16" s="261">
        <f t="shared" si="8"/>
        <v>-3354.9890371471556</v>
      </c>
      <c r="Q16" s="17">
        <f t="shared" si="9"/>
        <v>-8.8136002499508523E-2</v>
      </c>
      <c r="R16" s="71">
        <v>2.2504892367907203E-3</v>
      </c>
      <c r="S16" s="72">
        <v>9.5337973114695274E-4</v>
      </c>
      <c r="T16" s="73">
        <f t="shared" si="10"/>
        <v>-1.2971095056437676E-3</v>
      </c>
      <c r="U16" s="50">
        <f t="shared" si="11"/>
        <v>-0.57636778902950592</v>
      </c>
      <c r="V16" s="268">
        <v>4028.22632018992</v>
      </c>
      <c r="W16" s="269">
        <v>4134.86298664471</v>
      </c>
      <c r="X16" s="269">
        <f t="shared" si="0"/>
        <v>106.63666645478997</v>
      </c>
      <c r="Y16" s="270">
        <f t="shared" si="1"/>
        <v>2.6472362270291292E-2</v>
      </c>
      <c r="Z16" s="15">
        <v>1.01125218246168</v>
      </c>
      <c r="AA16" s="16">
        <v>1.08625219197934</v>
      </c>
      <c r="AB16" s="16">
        <f t="shared" si="12"/>
        <v>7.5000009517659949E-2</v>
      </c>
      <c r="AC16" s="17">
        <f t="shared" si="13"/>
        <v>7.4165485937531681E-2</v>
      </c>
      <c r="AD16" s="15">
        <v>15.8928571425</v>
      </c>
      <c r="AE16" s="16">
        <v>15.474999999750001</v>
      </c>
      <c r="AF16" s="16">
        <f t="shared" si="14"/>
        <v>-0.41785714274999997</v>
      </c>
      <c r="AG16" s="17">
        <f t="shared" si="15"/>
        <v>-2.6292134825309933E-2</v>
      </c>
      <c r="AH16" s="15">
        <v>16.7924351375</v>
      </c>
      <c r="AI16" s="16">
        <v>14.834197359999999</v>
      </c>
      <c r="AJ16" s="16">
        <f t="shared" si="16"/>
        <v>-1.9582377775000008</v>
      </c>
      <c r="AK16" s="17">
        <f t="shared" si="17"/>
        <v>-0.11661428264962985</v>
      </c>
    </row>
    <row r="17" spans="1:38" x14ac:dyDescent="0.3">
      <c r="A17" s="1" t="s">
        <v>7</v>
      </c>
      <c r="B17" s="23">
        <v>28</v>
      </c>
      <c r="C17" s="24">
        <v>28</v>
      </c>
      <c r="D17" s="24">
        <f t="shared" si="2"/>
        <v>0</v>
      </c>
      <c r="E17" s="17">
        <f t="shared" si="3"/>
        <v>0</v>
      </c>
      <c r="F17" s="15">
        <v>0.82142857125000002</v>
      </c>
      <c r="G17" s="16">
        <v>0.82142857125000002</v>
      </c>
      <c r="H17" s="16">
        <f t="shared" si="4"/>
        <v>0</v>
      </c>
      <c r="I17" s="17">
        <f t="shared" si="5"/>
        <v>0</v>
      </c>
      <c r="J17" s="76">
        <v>23</v>
      </c>
      <c r="K17" s="77">
        <v>23</v>
      </c>
      <c r="L17" s="77">
        <f t="shared" si="6"/>
        <v>0</v>
      </c>
      <c r="M17" s="50">
        <f t="shared" si="7"/>
        <v>0</v>
      </c>
      <c r="N17" s="61">
        <v>38066.044998646998</v>
      </c>
      <c r="O17" s="62">
        <v>34711.055961499842</v>
      </c>
      <c r="P17" s="261">
        <f t="shared" si="8"/>
        <v>-3354.9890371471556</v>
      </c>
      <c r="Q17" s="17">
        <f t="shared" si="9"/>
        <v>-8.8136002499508523E-2</v>
      </c>
      <c r="R17" s="71">
        <v>1.8549253148492095E-3</v>
      </c>
      <c r="S17" s="72">
        <v>1.3334603295551695E-3</v>
      </c>
      <c r="T17" s="73">
        <f t="shared" si="10"/>
        <v>-5.2146498529404006E-4</v>
      </c>
      <c r="U17" s="50">
        <f t="shared" si="11"/>
        <v>-0.28112451812456446</v>
      </c>
      <c r="V17" s="268">
        <v>4074.4589034877299</v>
      </c>
      <c r="W17" s="269">
        <v>4200.6073081323602</v>
      </c>
      <c r="X17" s="269">
        <f t="shared" si="0"/>
        <v>126.14840464463032</v>
      </c>
      <c r="Y17" s="270">
        <f t="shared" si="1"/>
        <v>3.0960774825007437E-2</v>
      </c>
      <c r="Z17" s="15">
        <v>1.02222858122667</v>
      </c>
      <c r="AA17" s="16">
        <v>1.0727538210434799</v>
      </c>
      <c r="AB17" s="16">
        <f t="shared" si="12"/>
        <v>5.0525239816809897E-2</v>
      </c>
      <c r="AC17" s="17">
        <f t="shared" si="13"/>
        <v>4.9426557567173304E-2</v>
      </c>
      <c r="AD17" s="15">
        <v>18.8678571425</v>
      </c>
      <c r="AE17" s="16">
        <v>17.546428571</v>
      </c>
      <c r="AF17" s="16">
        <f t="shared" si="14"/>
        <v>-1.3214285715000003</v>
      </c>
      <c r="AG17" s="17">
        <f t="shared" si="15"/>
        <v>-7.0035964419270055E-2</v>
      </c>
      <c r="AH17" s="15">
        <v>18.092583757500002</v>
      </c>
      <c r="AI17" s="16">
        <v>19.052669989999998</v>
      </c>
      <c r="AJ17" s="16">
        <f t="shared" si="16"/>
        <v>0.96008623249999658</v>
      </c>
      <c r="AK17" s="17">
        <f t="shared" si="17"/>
        <v>5.3065181035959426E-2</v>
      </c>
    </row>
    <row r="18" spans="1:38" x14ac:dyDescent="0.3">
      <c r="A18" s="1" t="s">
        <v>8</v>
      </c>
      <c r="B18" s="23">
        <v>35</v>
      </c>
      <c r="C18" s="24">
        <v>35</v>
      </c>
      <c r="D18" s="24">
        <f t="shared" si="2"/>
        <v>0</v>
      </c>
      <c r="E18" s="17">
        <f t="shared" si="3"/>
        <v>0</v>
      </c>
      <c r="F18" s="15">
        <v>0.77142857119999997</v>
      </c>
      <c r="G18" s="16">
        <v>0.79999999980000003</v>
      </c>
      <c r="H18" s="16">
        <f t="shared" si="4"/>
        <v>2.8571428600000059E-2</v>
      </c>
      <c r="I18" s="17">
        <f t="shared" si="5"/>
        <v>3.7037037085048088E-2</v>
      </c>
      <c r="J18" s="76">
        <v>27</v>
      </c>
      <c r="K18" s="77">
        <v>28</v>
      </c>
      <c r="L18" s="77">
        <f t="shared" si="6"/>
        <v>1</v>
      </c>
      <c r="M18" s="50">
        <f t="shared" si="7"/>
        <v>3.7037037037037035E-2</v>
      </c>
      <c r="N18" s="61">
        <v>38066.044998646998</v>
      </c>
      <c r="O18" s="62">
        <v>34711.055961499842</v>
      </c>
      <c r="P18" s="261">
        <f t="shared" si="8"/>
        <v>-3354.9890371471556</v>
      </c>
      <c r="Q18" s="17">
        <f t="shared" si="9"/>
        <v>-8.8136002499508523E-2</v>
      </c>
      <c r="R18" s="71">
        <v>9.7446891444086248E-5</v>
      </c>
      <c r="S18" s="72">
        <v>6.3730619233330899E-3</v>
      </c>
      <c r="T18" s="73">
        <f t="shared" si="10"/>
        <v>6.2756150318890036E-3</v>
      </c>
      <c r="U18" s="50">
        <f t="shared" si="11"/>
        <v>64.400361457295631</v>
      </c>
      <c r="V18" s="268">
        <v>4031.7492983876</v>
      </c>
      <c r="W18" s="269">
        <v>4200.6073081323602</v>
      </c>
      <c r="X18" s="269">
        <f t="shared" si="0"/>
        <v>168.85800974476024</v>
      </c>
      <c r="Y18" s="270">
        <f t="shared" si="1"/>
        <v>4.1882070845102121E-2</v>
      </c>
      <c r="Z18" s="15">
        <v>1.01515654181295</v>
      </c>
      <c r="AA18" s="16">
        <v>1.0630242976766699</v>
      </c>
      <c r="AB18" s="16">
        <f t="shared" si="12"/>
        <v>4.7867755863719941E-2</v>
      </c>
      <c r="AC18" s="17">
        <f t="shared" si="13"/>
        <v>4.7153078261441106E-2</v>
      </c>
      <c r="AD18" s="15">
        <v>20.905714285199998</v>
      </c>
      <c r="AE18" s="16">
        <v>19.965714285400001</v>
      </c>
      <c r="AF18" s="16">
        <f t="shared" si="14"/>
        <v>-0.93999999979999771</v>
      </c>
      <c r="AG18" s="17">
        <f t="shared" si="15"/>
        <v>-4.4963782962702294E-2</v>
      </c>
      <c r="AH18" s="15">
        <v>20.036474510000001</v>
      </c>
      <c r="AI18" s="16">
        <v>20.864757116</v>
      </c>
      <c r="AJ18" s="16">
        <f t="shared" si="16"/>
        <v>0.82828260599999837</v>
      </c>
      <c r="AK18" s="17">
        <f t="shared" si="17"/>
        <v>4.1338739786114118E-2</v>
      </c>
    </row>
    <row r="19" spans="1:38" x14ac:dyDescent="0.3">
      <c r="A19" s="1" t="s">
        <v>9</v>
      </c>
      <c r="B19" s="23">
        <v>28</v>
      </c>
      <c r="C19" s="24">
        <v>28</v>
      </c>
      <c r="D19" s="24">
        <f t="shared" si="2"/>
        <v>0</v>
      </c>
      <c r="E19" s="17">
        <f t="shared" si="3"/>
        <v>0</v>
      </c>
      <c r="F19" s="15">
        <v>0.85714285700000004</v>
      </c>
      <c r="G19" s="16">
        <v>0.82142857125000002</v>
      </c>
      <c r="H19" s="16">
        <f t="shared" si="4"/>
        <v>-3.5714285750000019E-2</v>
      </c>
      <c r="I19" s="17">
        <f t="shared" si="5"/>
        <v>-4.16666667152778E-2</v>
      </c>
      <c r="J19" s="76">
        <v>24</v>
      </c>
      <c r="K19" s="77">
        <v>23</v>
      </c>
      <c r="L19" s="77">
        <f t="shared" si="6"/>
        <v>-1</v>
      </c>
      <c r="M19" s="50">
        <f t="shared" si="7"/>
        <v>-4.1666666666666664E-2</v>
      </c>
      <c r="N19" s="61">
        <v>39667.252090048001</v>
      </c>
      <c r="O19" s="62">
        <v>39943.997285462901</v>
      </c>
      <c r="P19" s="261">
        <f t="shared" si="8"/>
        <v>276.74519541490008</v>
      </c>
      <c r="Q19" s="17">
        <f t="shared" si="9"/>
        <v>6.9766666666666293E-3</v>
      </c>
      <c r="R19" s="71">
        <v>8.184741303712384E-3</v>
      </c>
      <c r="S19" s="72">
        <v>6.8052930056710093E-3</v>
      </c>
      <c r="T19" s="73">
        <f t="shared" si="10"/>
        <v>-1.3794482980413747E-3</v>
      </c>
      <c r="U19" s="50">
        <f t="shared" si="11"/>
        <v>-0.16853902241426899</v>
      </c>
      <c r="V19" s="268">
        <v>4023.8011433143502</v>
      </c>
      <c r="W19" s="269">
        <v>4200.6073081323602</v>
      </c>
      <c r="X19" s="269">
        <f t="shared" si="0"/>
        <v>176.80616481801007</v>
      </c>
      <c r="Y19" s="270">
        <f t="shared" si="1"/>
        <v>4.3940085138595403E-2</v>
      </c>
      <c r="Z19" s="15">
        <v>1.0245131839663399</v>
      </c>
      <c r="AA19" s="16">
        <v>1.0612675628211601</v>
      </c>
      <c r="AB19" s="16">
        <f t="shared" si="12"/>
        <v>3.6754378854820136E-2</v>
      </c>
      <c r="AC19" s="17">
        <f t="shared" si="13"/>
        <v>3.5874969136588185E-2</v>
      </c>
      <c r="AD19" s="15">
        <v>22.985714285250001</v>
      </c>
      <c r="AE19" s="16">
        <v>23.057142856500001</v>
      </c>
      <c r="AF19" s="16">
        <f t="shared" si="14"/>
        <v>7.1428571249999351E-2</v>
      </c>
      <c r="AG19" s="17">
        <f t="shared" si="15"/>
        <v>3.1075201911752322E-3</v>
      </c>
      <c r="AH19" s="15">
        <v>24.820115272500001</v>
      </c>
      <c r="AI19" s="16">
        <v>25.516777367500001</v>
      </c>
      <c r="AJ19" s="16">
        <f t="shared" si="16"/>
        <v>0.69666209500000065</v>
      </c>
      <c r="AK19" s="17">
        <f t="shared" si="17"/>
        <v>2.8068447199029851E-2</v>
      </c>
    </row>
    <row r="20" spans="1:38" x14ac:dyDescent="0.3">
      <c r="A20" s="1" t="s">
        <v>10</v>
      </c>
      <c r="B20" s="23">
        <v>28</v>
      </c>
      <c r="C20" s="24">
        <v>28</v>
      </c>
      <c r="D20" s="24">
        <f t="shared" si="2"/>
        <v>0</v>
      </c>
      <c r="E20" s="17">
        <f t="shared" si="3"/>
        <v>0</v>
      </c>
      <c r="F20" s="15">
        <v>0.82142857125000002</v>
      </c>
      <c r="G20" s="16">
        <v>0.82142857125000002</v>
      </c>
      <c r="H20" s="16">
        <f t="shared" si="4"/>
        <v>0</v>
      </c>
      <c r="I20" s="17">
        <f t="shared" si="5"/>
        <v>0</v>
      </c>
      <c r="J20" s="76">
        <v>23</v>
      </c>
      <c r="K20" s="77">
        <v>23</v>
      </c>
      <c r="L20" s="77">
        <f t="shared" si="6"/>
        <v>0</v>
      </c>
      <c r="M20" s="50">
        <f t="shared" si="7"/>
        <v>0</v>
      </c>
      <c r="N20" s="61">
        <v>39667.252090048001</v>
      </c>
      <c r="O20" s="62">
        <v>39943.997285462901</v>
      </c>
      <c r="P20" s="261">
        <f t="shared" si="8"/>
        <v>276.74519541490008</v>
      </c>
      <c r="Q20" s="17">
        <f t="shared" si="9"/>
        <v>6.9766666666666293E-3</v>
      </c>
      <c r="R20" s="71">
        <v>7.731709674301257E-4</v>
      </c>
      <c r="S20" s="72">
        <v>9.9999999999988987E-4</v>
      </c>
      <c r="T20" s="73">
        <f t="shared" si="10"/>
        <v>2.2682903256976417E-4</v>
      </c>
      <c r="U20" s="50">
        <f t="shared" si="11"/>
        <v>0.29337499999993666</v>
      </c>
      <c r="V20" s="268">
        <v>3992.9380714705399</v>
      </c>
      <c r="W20" s="269">
        <v>4229.1714378276602</v>
      </c>
      <c r="X20" s="269">
        <f t="shared" si="0"/>
        <v>236.2333663571203</v>
      </c>
      <c r="Y20" s="270">
        <f t="shared" si="1"/>
        <v>5.9162792442237669E-2</v>
      </c>
      <c r="Z20" s="15">
        <v>1.01412608499109</v>
      </c>
      <c r="AA20" s="16">
        <v>1.0612675628211601</v>
      </c>
      <c r="AB20" s="16">
        <f t="shared" si="12"/>
        <v>4.7141477830070055E-2</v>
      </c>
      <c r="AC20" s="17">
        <f t="shared" si="13"/>
        <v>4.6484829182245356E-2</v>
      </c>
      <c r="AD20" s="15">
        <v>26.682142856750001</v>
      </c>
      <c r="AE20" s="16">
        <v>25.3499999995</v>
      </c>
      <c r="AF20" s="16">
        <f t="shared" si="14"/>
        <v>-1.3321428572500018</v>
      </c>
      <c r="AG20" s="17">
        <f t="shared" si="15"/>
        <v>-4.9926382015191055E-2</v>
      </c>
      <c r="AH20" s="15">
        <v>27.9213897775</v>
      </c>
      <c r="AI20" s="16">
        <v>27.950078722499999</v>
      </c>
      <c r="AJ20" s="16">
        <f t="shared" si="16"/>
        <v>2.8688944999998967E-2</v>
      </c>
      <c r="AK20" s="17">
        <f t="shared" si="17"/>
        <v>1.027489864530937E-3</v>
      </c>
    </row>
    <row r="21" spans="1:38" ht="15" thickBot="1" x14ac:dyDescent="0.35">
      <c r="A21" s="1" t="s">
        <v>11</v>
      </c>
      <c r="B21" s="187">
        <v>39</v>
      </c>
      <c r="C21" s="188">
        <v>41</v>
      </c>
      <c r="D21" s="188">
        <f t="shared" si="2"/>
        <v>2</v>
      </c>
      <c r="E21" s="189">
        <f t="shared" si="3"/>
        <v>5.128205128205128E-2</v>
      </c>
      <c r="F21" s="190">
        <v>0.83116883100000005</v>
      </c>
      <c r="G21" s="147">
        <v>0.81098901079999997</v>
      </c>
      <c r="H21" s="147">
        <f t="shared" si="4"/>
        <v>-2.0179820200000087E-2</v>
      </c>
      <c r="I21" s="189">
        <f t="shared" si="5"/>
        <v>-2.4278846183056743E-2</v>
      </c>
      <c r="J21" s="191">
        <v>32</v>
      </c>
      <c r="K21" s="192">
        <v>33</v>
      </c>
      <c r="L21" s="192">
        <f t="shared" si="6"/>
        <v>1</v>
      </c>
      <c r="M21" s="193">
        <f t="shared" si="7"/>
        <v>3.125E-2</v>
      </c>
      <c r="N21" s="219">
        <v>39667.252090048001</v>
      </c>
      <c r="O21" s="220">
        <v>39943.997285462901</v>
      </c>
      <c r="P21" s="262">
        <f t="shared" si="8"/>
        <v>276.74519541490008</v>
      </c>
      <c r="Q21" s="189">
        <f t="shared" si="9"/>
        <v>6.9766666666666293E-3</v>
      </c>
      <c r="R21" s="226">
        <v>1.0622887493965116E-3</v>
      </c>
      <c r="S21" s="227">
        <v>0</v>
      </c>
      <c r="T21" s="228">
        <f t="shared" si="10"/>
        <v>-1.0622887493965116E-3</v>
      </c>
      <c r="U21" s="193">
        <f t="shared" si="11"/>
        <v>-1</v>
      </c>
      <c r="V21" s="271">
        <v>4087.10972490327</v>
      </c>
      <c r="W21" s="272">
        <v>4282.4589979442899</v>
      </c>
      <c r="X21" s="272">
        <f t="shared" si="0"/>
        <v>195.34927304101984</v>
      </c>
      <c r="Y21" s="275">
        <f t="shared" si="1"/>
        <v>4.7796434690933871E-2</v>
      </c>
      <c r="Z21" s="190">
        <v>1.0214332241480899</v>
      </c>
      <c r="AA21" s="147">
        <v>1.06848418224834</v>
      </c>
      <c r="AB21" s="147">
        <f t="shared" si="12"/>
        <v>4.7050958100250062E-2</v>
      </c>
      <c r="AC21" s="189">
        <f t="shared" si="13"/>
        <v>4.6063665238118882E-2</v>
      </c>
      <c r="AD21" s="190">
        <v>28.325974025400001</v>
      </c>
      <c r="AE21" s="147">
        <v>27.0298901096</v>
      </c>
      <c r="AF21" s="147">
        <f t="shared" si="14"/>
        <v>-1.2960839158000006</v>
      </c>
      <c r="AG21" s="189">
        <f t="shared" si="15"/>
        <v>-4.5756022886902233E-2</v>
      </c>
      <c r="AH21" s="190">
        <v>30.695088972000001</v>
      </c>
      <c r="AI21" s="147">
        <v>29.210975754</v>
      </c>
      <c r="AJ21" s="147">
        <f t="shared" si="16"/>
        <v>-1.484113218000001</v>
      </c>
      <c r="AK21" s="189">
        <f t="shared" si="17"/>
        <v>-4.835018459642864E-2</v>
      </c>
    </row>
    <row r="22" spans="1:38" ht="15" thickBot="1" x14ac:dyDescent="0.35">
      <c r="A22" s="4" t="s">
        <v>15</v>
      </c>
      <c r="B22" s="198">
        <f>SUM(B10:B21)</f>
        <v>365</v>
      </c>
      <c r="C22" s="199">
        <f>SUM(C10:C21)</f>
        <v>366</v>
      </c>
      <c r="D22" s="199">
        <f t="shared" si="2"/>
        <v>1</v>
      </c>
      <c r="E22" s="200">
        <f t="shared" si="3"/>
        <v>2.7397260273972603E-3</v>
      </c>
      <c r="F22" s="201">
        <f>(4*SUM(F10:F11,F13:F14,F16:F17,F19:F20)+5*SUM(F12,F15,F18,F21))/52</f>
        <v>0.83335414569230792</v>
      </c>
      <c r="G22" s="202">
        <f>(4*SUM(G10:G11,G13:G14,G16:G17,G19:G20)+5*SUM(G12,G15,G18,G21))/52</f>
        <v>0.81882220324999999</v>
      </c>
      <c r="H22" s="202">
        <f t="shared" si="4"/>
        <v>-1.4531942442307932E-2</v>
      </c>
      <c r="I22" s="200">
        <f t="shared" si="5"/>
        <v>-1.7437895422282371E-2</v>
      </c>
      <c r="J22" s="203">
        <f>SUM(J10:J21)</f>
        <v>304</v>
      </c>
      <c r="K22" s="204">
        <f>SUM(K10:K21)</f>
        <v>300</v>
      </c>
      <c r="L22" s="204">
        <f t="shared" si="6"/>
        <v>-4</v>
      </c>
      <c r="M22" s="237">
        <f t="shared" si="7"/>
        <v>-1.3157894736842105E-2</v>
      </c>
      <c r="N22" s="222">
        <f>(4*SUM(N10:N11,N13:N14,N16:N17,N19:N20)+5*SUM(N12,N15,N18,N21))/52</f>
        <v>38797.495645062503</v>
      </c>
      <c r="O22" s="223">
        <f>(4*SUM(O10:O11,O13:O14,O16:O17,O19:O20)+5*SUM(O12,O15,O18,O21))/52</f>
        <v>36656.555942852938</v>
      </c>
      <c r="P22" s="263">
        <f t="shared" si="8"/>
        <v>-2140.9397022095654</v>
      </c>
      <c r="Q22" s="200">
        <f t="shared" si="9"/>
        <v>-5.5182420066384581E-2</v>
      </c>
      <c r="R22" s="211">
        <f>PRODUCT((1+R10),(1+R11),(1+R12),(1+R13),(1+R14),(1+R15),(1+R16),(1+R17),(1+R18),(1+R19),(1+R20),(1+R21))-1</f>
        <v>3.0007949125596456E-2</v>
      </c>
      <c r="S22" s="212">
        <f>PRODUCT((1+S10),(1+S11),(1+S12),(1+S13),(1+S14),(1+S15),(1+S16),(1+S17),(1+S18),(1+S19),(1+S20),(1+S21))-1</f>
        <v>2.8617788925333176E-2</v>
      </c>
      <c r="T22" s="240">
        <f t="shared" si="10"/>
        <v>-1.3901602002632796E-3</v>
      </c>
      <c r="U22" s="205">
        <f t="shared" si="11"/>
        <v>-4.6326398196852712E-2</v>
      </c>
      <c r="V22" s="273">
        <f>(4*SUM(V10:V11,V13:V14,V16:V17,V19:V20)+5*SUM(V12,V15,V18,V21))/52</f>
        <v>4017.4292720646781</v>
      </c>
      <c r="W22" s="274">
        <f>(4*SUM(W10:W11,W13:W14,W16:W17,W19:W20)+5*SUM(W12,W15,W18,W21))/52</f>
        <v>4166.7747882239364</v>
      </c>
      <c r="X22" s="274">
        <f t="shared" si="0"/>
        <v>149.3455161592583</v>
      </c>
      <c r="Y22" s="200">
        <f t="shared" si="1"/>
        <v>3.7174398364082491E-2</v>
      </c>
      <c r="Z22" s="201">
        <f>(4*SUM(Z10:Z11,Z13:Z14,Z16:Z17,Z19:Z20)+5*SUM(Z12,Z15,Z18,Z21))/52</f>
        <v>1.0254147661129829</v>
      </c>
      <c r="AA22" s="148">
        <f>(4*SUM(AA10:AA11,AA13:AA14,AA16:AA17,AA19:AA20)+5*SUM(AA12,AA15,AA18,AA21))/52</f>
        <v>1.0644335338828612</v>
      </c>
      <c r="AB22" s="241">
        <f t="shared" si="12"/>
        <v>3.9018767769878338E-2</v>
      </c>
      <c r="AC22" s="213">
        <f t="shared" si="13"/>
        <v>3.8051692894755088E-2</v>
      </c>
      <c r="AD22" s="201">
        <f>(4*SUM(AD10:AD11,AD13:AD14,AD16:AD17,AD19:AD20)+5*SUM(AD12,AD15,AD18,AD21))/52</f>
        <v>23.531412337288462</v>
      </c>
      <c r="AE22" s="202">
        <f>(4*SUM(AE10:AE11,AE13:AE14,AE16:AE17,AE19:AE20)+5*SUM(AE12,AE15,AE18,AE21))/52</f>
        <v>23.477874048653845</v>
      </c>
      <c r="AF22" s="202">
        <f t="shared" si="14"/>
        <v>-5.3538288634616293E-2</v>
      </c>
      <c r="AG22" s="200">
        <f t="shared" si="15"/>
        <v>-2.275183820980358E-3</v>
      </c>
      <c r="AH22" s="201">
        <f>(4*SUM(AH10:AH11,AH13:AH14,AH16:AH17,AH19:AH20)+5*SUM(AH12,AH15,AH18,AH21))/52</f>
        <v>24.512333040961536</v>
      </c>
      <c r="AI22" s="202">
        <f>(4*SUM(AI10:AI11,AI13:AI14,AI16:AI17,AI19:AI20)+5*SUM(AI12,AI15,AI18,AI21))/52</f>
        <v>25.131132840769229</v>
      </c>
      <c r="AJ22" s="202">
        <f t="shared" si="16"/>
        <v>0.61879979980769306</v>
      </c>
      <c r="AK22" s="213">
        <f t="shared" si="17"/>
        <v>2.5244426908431872E-2</v>
      </c>
      <c r="AL22" s="161"/>
    </row>
    <row r="23" spans="1:38" ht="15" thickBot="1" x14ac:dyDescent="0.35">
      <c r="A23" s="39" t="str">
        <f>"Chile - "&amp;'Chile DT'!A22:J22</f>
        <v>Chile - w43</v>
      </c>
      <c r="B23" s="33"/>
      <c r="C23" s="33"/>
      <c r="D23" s="33"/>
      <c r="E23" s="33"/>
      <c r="F23" s="33"/>
      <c r="G23" s="33"/>
      <c r="J23" s="33"/>
      <c r="K23" s="33"/>
      <c r="N23" s="29"/>
      <c r="O23" s="29"/>
    </row>
    <row r="24" spans="1:38" ht="15.75" customHeight="1" thickBot="1" x14ac:dyDescent="0.35">
      <c r="A24" s="30"/>
      <c r="B24" s="320" t="s">
        <v>21</v>
      </c>
      <c r="C24" s="327"/>
      <c r="D24" s="327"/>
      <c r="E24" s="327"/>
      <c r="F24" s="327"/>
      <c r="G24" s="327"/>
      <c r="H24" s="327"/>
      <c r="I24" s="327"/>
      <c r="J24" s="327"/>
      <c r="K24" s="327"/>
      <c r="L24" s="327"/>
      <c r="M24" s="327"/>
      <c r="N24" s="313" t="s">
        <v>22</v>
      </c>
      <c r="O24" s="313"/>
      <c r="P24" s="313"/>
      <c r="Q24" s="313"/>
      <c r="R24" s="312" t="s">
        <v>41</v>
      </c>
      <c r="S24" s="313"/>
      <c r="T24" s="313"/>
      <c r="U24" s="314"/>
      <c r="V24" s="312" t="s">
        <v>23</v>
      </c>
      <c r="W24" s="313"/>
      <c r="X24" s="313"/>
      <c r="Y24" s="313"/>
      <c r="Z24" s="312" t="s">
        <v>24</v>
      </c>
      <c r="AA24" s="313"/>
      <c r="AB24" s="313"/>
      <c r="AC24" s="314"/>
      <c r="AD24" s="312" t="s">
        <v>25</v>
      </c>
      <c r="AE24" s="313"/>
      <c r="AF24" s="313"/>
      <c r="AG24" s="313"/>
      <c r="AH24" s="312" t="s">
        <v>60</v>
      </c>
      <c r="AI24" s="313"/>
      <c r="AJ24" s="313"/>
      <c r="AK24" s="314"/>
    </row>
    <row r="25" spans="1:38" ht="15" thickBot="1" x14ac:dyDescent="0.35">
      <c r="A25" s="2"/>
      <c r="B25" s="312" t="s">
        <v>68</v>
      </c>
      <c r="C25" s="313"/>
      <c r="D25" s="313"/>
      <c r="E25" s="314"/>
      <c r="F25" s="312" t="s">
        <v>81</v>
      </c>
      <c r="G25" s="313"/>
      <c r="H25" s="313"/>
      <c r="I25" s="314"/>
      <c r="J25" s="312" t="s">
        <v>57</v>
      </c>
      <c r="K25" s="313"/>
      <c r="L25" s="313"/>
      <c r="M25" s="314"/>
      <c r="N25" s="312" t="s">
        <v>20</v>
      </c>
      <c r="O25" s="313"/>
      <c r="P25" s="313"/>
      <c r="Q25" s="314"/>
      <c r="R25" s="312" t="s">
        <v>35</v>
      </c>
      <c r="S25" s="313"/>
      <c r="T25" s="313"/>
      <c r="U25" s="314"/>
      <c r="V25" s="312" t="s">
        <v>84</v>
      </c>
      <c r="W25" s="313"/>
      <c r="X25" s="313"/>
      <c r="Y25" s="314"/>
      <c r="Z25" s="312" t="s">
        <v>109</v>
      </c>
      <c r="AA25" s="313"/>
      <c r="AB25" s="313"/>
      <c r="AC25" s="314"/>
      <c r="AD25" s="312" t="s">
        <v>16</v>
      </c>
      <c r="AE25" s="313"/>
      <c r="AF25" s="313"/>
      <c r="AG25" s="314"/>
      <c r="AH25" s="312" t="s">
        <v>71</v>
      </c>
      <c r="AI25" s="313"/>
      <c r="AJ25" s="313"/>
      <c r="AK25" s="314"/>
    </row>
    <row r="26" spans="1:38" x14ac:dyDescent="0.3">
      <c r="A26" s="1"/>
      <c r="B26" s="12">
        <v>2020</v>
      </c>
      <c r="C26" s="13">
        <v>2021</v>
      </c>
      <c r="D26" s="13" t="s">
        <v>12</v>
      </c>
      <c r="E26" s="14" t="s">
        <v>13</v>
      </c>
      <c r="F26" s="12">
        <v>2020</v>
      </c>
      <c r="G26" s="13">
        <v>2021</v>
      </c>
      <c r="H26" s="13" t="s">
        <v>12</v>
      </c>
      <c r="I26" s="14" t="s">
        <v>13</v>
      </c>
      <c r="J26" s="44">
        <v>2020</v>
      </c>
      <c r="K26" s="45">
        <v>2021</v>
      </c>
      <c r="L26" s="45" t="s">
        <v>12</v>
      </c>
      <c r="M26" s="46" t="s">
        <v>13</v>
      </c>
      <c r="N26" s="12">
        <v>2020</v>
      </c>
      <c r="O26" s="13">
        <v>2021</v>
      </c>
      <c r="P26" s="13" t="s">
        <v>12</v>
      </c>
      <c r="Q26" s="14" t="s">
        <v>13</v>
      </c>
      <c r="R26" s="44">
        <v>2020</v>
      </c>
      <c r="S26" s="45">
        <v>2021</v>
      </c>
      <c r="T26" s="45" t="s">
        <v>12</v>
      </c>
      <c r="U26" s="46" t="s">
        <v>13</v>
      </c>
      <c r="V26" s="265">
        <v>2020</v>
      </c>
      <c r="W26" s="266">
        <v>2021</v>
      </c>
      <c r="X26" s="266" t="s">
        <v>12</v>
      </c>
      <c r="Y26" s="267" t="s">
        <v>13</v>
      </c>
      <c r="Z26" s="12">
        <v>2020</v>
      </c>
      <c r="AA26" s="13">
        <v>2021</v>
      </c>
      <c r="AB26" s="13" t="s">
        <v>12</v>
      </c>
      <c r="AC26" s="14" t="s">
        <v>13</v>
      </c>
      <c r="AD26" s="12">
        <v>2020</v>
      </c>
      <c r="AE26" s="13">
        <v>2021</v>
      </c>
      <c r="AF26" s="13" t="s">
        <v>12</v>
      </c>
      <c r="AG26" s="14" t="s">
        <v>13</v>
      </c>
      <c r="AH26" s="12">
        <v>2020</v>
      </c>
      <c r="AI26" s="13">
        <v>2021</v>
      </c>
      <c r="AJ26" s="13" t="s">
        <v>12</v>
      </c>
      <c r="AK26" s="14" t="s">
        <v>13</v>
      </c>
    </row>
    <row r="27" spans="1:38" x14ac:dyDescent="0.3">
      <c r="A27" s="1" t="s">
        <v>0</v>
      </c>
      <c r="B27" s="23">
        <v>25</v>
      </c>
      <c r="C27" s="24">
        <v>24</v>
      </c>
      <c r="D27" s="24">
        <f>C27-B27</f>
        <v>-1</v>
      </c>
      <c r="E27" s="17">
        <f>(C27-B27)/B27</f>
        <v>-0.04</v>
      </c>
      <c r="F27" s="15">
        <v>0.83035714275000005</v>
      </c>
      <c r="G27" s="16">
        <v>0.80952380925</v>
      </c>
      <c r="H27" s="16">
        <f>G27-F27</f>
        <v>-2.0833333500000051E-2</v>
      </c>
      <c r="I27" s="17">
        <f>(G27-F27)/F27</f>
        <v>-2.50896059387213E-2</v>
      </c>
      <c r="J27" s="76">
        <v>21</v>
      </c>
      <c r="K27" s="77">
        <v>20</v>
      </c>
      <c r="L27" s="77">
        <f>K27-J27</f>
        <v>-1</v>
      </c>
      <c r="M27" s="50">
        <f>(K27-J27)/J27</f>
        <v>-4.7619047619047616E-2</v>
      </c>
      <c r="N27" s="61">
        <v>37957.131976657998</v>
      </c>
      <c r="O27" s="62">
        <v>38046.517751389001</v>
      </c>
      <c r="P27" s="261">
        <f>O27-N27</f>
        <v>89.385774731003039</v>
      </c>
      <c r="Q27" s="17">
        <f>(O27-N27)/N27</f>
        <v>2.3549138218865282E-3</v>
      </c>
      <c r="R27" s="71">
        <v>1.0930047694752698E-3</v>
      </c>
      <c r="S27" s="72">
        <v>5.5952151263747307E-3</v>
      </c>
      <c r="T27" s="73">
        <f>S27-R27</f>
        <v>4.5022103568994609E-3</v>
      </c>
      <c r="U27" s="50">
        <f>(S27-R27)/ABS(R27)</f>
        <v>4.1191131847127105</v>
      </c>
      <c r="V27" s="268">
        <v>3883.1254318756901</v>
      </c>
      <c r="W27" s="269">
        <v>4057.2438970323801</v>
      </c>
      <c r="X27" s="269">
        <f t="shared" ref="X27:X39" si="18">W27-V27</f>
        <v>174.11846515669004</v>
      </c>
      <c r="Y27" s="270">
        <f t="shared" ref="Y27:Y39" si="19">(W27-V27)/V27</f>
        <v>4.4839773582226142E-2</v>
      </c>
      <c r="Z27" s="15">
        <v>1.02469674806054</v>
      </c>
      <c r="AA27" s="16">
        <v>1.0373167326736901</v>
      </c>
      <c r="AB27" s="16">
        <f>AA27-Z27</f>
        <v>1.2619984613150059E-2</v>
      </c>
      <c r="AC27" s="17">
        <f>(AA27-Z27)/Z27</f>
        <v>1.2315823815227389E-2</v>
      </c>
      <c r="AD27" s="15">
        <v>28.86160714275</v>
      </c>
      <c r="AE27" s="16">
        <v>29.696428570999998</v>
      </c>
      <c r="AF27" s="16">
        <f>AE27-AD27</f>
        <v>0.83482142824999883</v>
      </c>
      <c r="AG27" s="17">
        <f>(AE27-AD27)/AD27</f>
        <v>2.8924980654090323E-2</v>
      </c>
      <c r="AH27" s="15">
        <v>30.726466492499998</v>
      </c>
      <c r="AI27" s="16">
        <v>31.470912755000001</v>
      </c>
      <c r="AJ27" s="16">
        <f>AI27-AH27</f>
        <v>0.74444626250000212</v>
      </c>
      <c r="AK27" s="17">
        <f>(AI27-AH27)/AH27</f>
        <v>2.422817679610877E-2</v>
      </c>
    </row>
    <row r="28" spans="1:38" x14ac:dyDescent="0.3">
      <c r="A28" s="1" t="s">
        <v>1</v>
      </c>
      <c r="B28" s="23">
        <v>28</v>
      </c>
      <c r="C28" s="24">
        <v>28</v>
      </c>
      <c r="D28" s="24">
        <f t="shared" ref="D28:D38" si="20">C28-B28</f>
        <v>0</v>
      </c>
      <c r="E28" s="17">
        <f t="shared" ref="E28:E38" si="21">(C28-B28)/B28</f>
        <v>0</v>
      </c>
      <c r="F28" s="15">
        <v>0.85714285700000004</v>
      </c>
      <c r="G28" s="16">
        <v>0.85714285700000004</v>
      </c>
      <c r="H28" s="16">
        <f t="shared" ref="H28:H38" si="22">G28-F28</f>
        <v>0</v>
      </c>
      <c r="I28" s="17">
        <f t="shared" ref="I28:I38" si="23">(G28-F28)/F28</f>
        <v>0</v>
      </c>
      <c r="J28" s="76">
        <v>24</v>
      </c>
      <c r="K28" s="77">
        <v>24</v>
      </c>
      <c r="L28" s="77">
        <f t="shared" ref="L28:L38" si="24">K28-J28</f>
        <v>0</v>
      </c>
      <c r="M28" s="50">
        <f t="shared" ref="M28:M38" si="25">(K28-J28)/J28</f>
        <v>0</v>
      </c>
      <c r="N28" s="61">
        <v>37957.131976657998</v>
      </c>
      <c r="O28" s="62">
        <v>38046.517751389001</v>
      </c>
      <c r="P28" s="261">
        <f t="shared" ref="P28:P38" si="26">O28-N28</f>
        <v>89.385774731003039</v>
      </c>
      <c r="Q28" s="17">
        <f t="shared" ref="Q28:Q38" si="27">(O28-N28)/N28</f>
        <v>2.3549138218865282E-3</v>
      </c>
      <c r="R28" s="71">
        <v>3.9702233250626939E-4</v>
      </c>
      <c r="S28" s="72">
        <v>4.5088257866461312E-3</v>
      </c>
      <c r="T28" s="73">
        <f t="shared" ref="T28:T38" si="28">S28-R28</f>
        <v>4.1118034541398618E-3</v>
      </c>
      <c r="U28" s="50">
        <f t="shared" ref="U28:U38" si="29">(S28-R28)/ABS(R28)</f>
        <v>10.356604950113057</v>
      </c>
      <c r="V28" s="268">
        <v>3949.35169391096</v>
      </c>
      <c r="W28" s="269">
        <v>4134.86298664471</v>
      </c>
      <c r="X28" s="269">
        <f t="shared" si="18"/>
        <v>185.51129273375</v>
      </c>
      <c r="Y28" s="270">
        <f t="shared" si="19"/>
        <v>4.697259376007662E-2</v>
      </c>
      <c r="Z28" s="15">
        <v>1.0336329824650199</v>
      </c>
      <c r="AA28" s="16">
        <v>1.0411837019424799</v>
      </c>
      <c r="AB28" s="16">
        <f t="shared" ref="AB28:AB38" si="30">AA28-Z28</f>
        <v>7.5507194774599995E-3</v>
      </c>
      <c r="AC28" s="17">
        <f t="shared" ref="AC28:AC38" si="31">(AA28-Z28)/Z28</f>
        <v>7.3050295468058265E-3</v>
      </c>
      <c r="AD28" s="15">
        <v>30.910714285249998</v>
      </c>
      <c r="AE28" s="16">
        <v>30.160714285499999</v>
      </c>
      <c r="AF28" s="16">
        <f t="shared" ref="AF28:AF38" si="32">AE28-AD28</f>
        <v>-0.74999999974999909</v>
      </c>
      <c r="AG28" s="17">
        <f t="shared" ref="AG28:AG38" si="33">(AE28-AD28)/AD28</f>
        <v>-2.426343153473761E-2</v>
      </c>
      <c r="AH28" s="15">
        <v>30.926132602500001</v>
      </c>
      <c r="AI28" s="16">
        <v>31.744990274999999</v>
      </c>
      <c r="AJ28" s="16">
        <f t="shared" ref="AJ28:AJ38" si="34">AI28-AH28</f>
        <v>0.8188576724999983</v>
      </c>
      <c r="AK28" s="17">
        <f t="shared" ref="AK28:AK38" si="35">(AI28-AH28)/AH28</f>
        <v>2.6477855573632365E-2</v>
      </c>
    </row>
    <row r="29" spans="1:38" x14ac:dyDescent="0.3">
      <c r="A29" s="1" t="s">
        <v>2</v>
      </c>
      <c r="B29" s="23">
        <v>35</v>
      </c>
      <c r="C29" s="24">
        <v>35</v>
      </c>
      <c r="D29" s="24">
        <f t="shared" si="20"/>
        <v>0</v>
      </c>
      <c r="E29" s="17">
        <f t="shared" si="21"/>
        <v>0</v>
      </c>
      <c r="F29" s="15">
        <v>0.85714285700000004</v>
      </c>
      <c r="G29" s="16">
        <v>0.85714285700000004</v>
      </c>
      <c r="H29" s="16">
        <f t="shared" si="22"/>
        <v>0</v>
      </c>
      <c r="I29" s="17">
        <f t="shared" si="23"/>
        <v>0</v>
      </c>
      <c r="J29" s="76">
        <v>30</v>
      </c>
      <c r="K29" s="77">
        <v>30</v>
      </c>
      <c r="L29" s="77">
        <f t="shared" si="24"/>
        <v>0</v>
      </c>
      <c r="M29" s="50">
        <f t="shared" si="25"/>
        <v>0</v>
      </c>
      <c r="N29" s="61">
        <v>37957.131976657998</v>
      </c>
      <c r="O29" s="62">
        <v>38046.517751389001</v>
      </c>
      <c r="P29" s="261">
        <f t="shared" si="26"/>
        <v>89.385774731003039</v>
      </c>
      <c r="Q29" s="17">
        <f t="shared" si="27"/>
        <v>2.3549138218865282E-3</v>
      </c>
      <c r="R29" s="71">
        <v>4.7623772199620884E-3</v>
      </c>
      <c r="S29" s="72">
        <v>3.3425651800211842E-3</v>
      </c>
      <c r="T29" s="73">
        <f t="shared" si="28"/>
        <v>-1.4198120399409042E-3</v>
      </c>
      <c r="U29" s="50">
        <f t="shared" si="29"/>
        <v>-0.29813094897010423</v>
      </c>
      <c r="V29" s="268">
        <v>3940.9878549257401</v>
      </c>
      <c r="W29" s="269">
        <v>4134.86298664471</v>
      </c>
      <c r="X29" s="269">
        <f t="shared" si="18"/>
        <v>193.8751317189699</v>
      </c>
      <c r="Y29" s="270">
        <f t="shared" si="19"/>
        <v>4.9194551938710071E-2</v>
      </c>
      <c r="Z29" s="15">
        <v>1.05349061796012</v>
      </c>
      <c r="AA29" s="16">
        <v>1.0626729128546299</v>
      </c>
      <c r="AB29" s="16">
        <f t="shared" si="30"/>
        <v>9.1822948945099458E-3</v>
      </c>
      <c r="AC29" s="17">
        <f t="shared" si="31"/>
        <v>8.7160670802077737E-3</v>
      </c>
      <c r="AD29" s="15">
        <v>27.568571428199999</v>
      </c>
      <c r="AE29" s="16">
        <v>28.779999999600001</v>
      </c>
      <c r="AF29" s="16">
        <f t="shared" si="32"/>
        <v>1.2114285714000026</v>
      </c>
      <c r="AG29" s="17">
        <f t="shared" si="33"/>
        <v>4.3942377447996006E-2</v>
      </c>
      <c r="AH29" s="15">
        <v>28.206274698000001</v>
      </c>
      <c r="AI29" s="16">
        <v>30.783296016000001</v>
      </c>
      <c r="AJ29" s="16">
        <f t="shared" si="34"/>
        <v>2.5770213179999999</v>
      </c>
      <c r="AK29" s="17">
        <f t="shared" si="35"/>
        <v>9.1363405681599161E-2</v>
      </c>
    </row>
    <row r="30" spans="1:38" x14ac:dyDescent="0.3">
      <c r="A30" s="1" t="s">
        <v>3</v>
      </c>
      <c r="B30" s="23">
        <v>28</v>
      </c>
      <c r="C30" s="24">
        <v>28</v>
      </c>
      <c r="D30" s="24">
        <f t="shared" si="20"/>
        <v>0</v>
      </c>
      <c r="E30" s="17">
        <f t="shared" si="21"/>
        <v>0</v>
      </c>
      <c r="F30" s="15">
        <v>0.82142857125000002</v>
      </c>
      <c r="G30" s="16">
        <v>0.7857142855</v>
      </c>
      <c r="H30" s="16">
        <f t="shared" si="22"/>
        <v>-3.5714285750000019E-2</v>
      </c>
      <c r="I30" s="17">
        <f t="shared" si="23"/>
        <v>-4.3478260922495293E-2</v>
      </c>
      <c r="J30" s="76">
        <v>23</v>
      </c>
      <c r="K30" s="77">
        <v>22</v>
      </c>
      <c r="L30" s="77">
        <f t="shared" si="24"/>
        <v>-1</v>
      </c>
      <c r="M30" s="50">
        <f t="shared" si="25"/>
        <v>-4.3478260869565216E-2</v>
      </c>
      <c r="N30" s="61">
        <v>39499.553514897001</v>
      </c>
      <c r="O30" s="62">
        <v>33924.652773059999</v>
      </c>
      <c r="P30" s="261">
        <f t="shared" si="26"/>
        <v>-5574.900741837002</v>
      </c>
      <c r="Q30" s="17">
        <f t="shared" si="27"/>
        <v>-0.14113832298723236</v>
      </c>
      <c r="R30" s="71">
        <v>2.6661400217242726E-3</v>
      </c>
      <c r="S30" s="72">
        <v>-4.7591852274886381E-4</v>
      </c>
      <c r="T30" s="73">
        <f t="shared" si="28"/>
        <v>-3.1420585444731364E-3</v>
      </c>
      <c r="U30" s="50">
        <f t="shared" si="29"/>
        <v>-1.1785046992547199</v>
      </c>
      <c r="V30" s="268">
        <v>4026.17938643654</v>
      </c>
      <c r="W30" s="269">
        <v>4134.86298664471</v>
      </c>
      <c r="X30" s="269">
        <f t="shared" si="18"/>
        <v>108.68360020816999</v>
      </c>
      <c r="Y30" s="270">
        <f t="shared" si="19"/>
        <v>2.699422697714491E-2</v>
      </c>
      <c r="Z30" s="15">
        <v>1.0254535293965901</v>
      </c>
      <c r="AA30" s="16">
        <v>1.0625611765760301</v>
      </c>
      <c r="AB30" s="16">
        <f t="shared" si="30"/>
        <v>3.710764717944004E-2</v>
      </c>
      <c r="AC30" s="17">
        <f t="shared" si="31"/>
        <v>3.6186571225002635E-2</v>
      </c>
      <c r="AD30" s="15">
        <v>23.839285713999999</v>
      </c>
      <c r="AE30" s="16">
        <v>25.803571428000001</v>
      </c>
      <c r="AF30" s="16">
        <f t="shared" si="32"/>
        <v>1.9642857140000025</v>
      </c>
      <c r="AG30" s="17">
        <f t="shared" si="33"/>
        <v>8.2397003734320975E-2</v>
      </c>
      <c r="AH30" s="15">
        <v>26.548912207499999</v>
      </c>
      <c r="AI30" s="16">
        <v>26.364061732500002</v>
      </c>
      <c r="AJ30" s="16">
        <f t="shared" si="34"/>
        <v>-0.18485047499999752</v>
      </c>
      <c r="AK30" s="17">
        <f t="shared" si="35"/>
        <v>-6.9626383768664445E-3</v>
      </c>
    </row>
    <row r="31" spans="1:38" x14ac:dyDescent="0.3">
      <c r="A31" s="1" t="s">
        <v>4</v>
      </c>
      <c r="B31" s="23">
        <v>28</v>
      </c>
      <c r="C31" s="24">
        <v>28</v>
      </c>
      <c r="D31" s="24">
        <f t="shared" si="20"/>
        <v>0</v>
      </c>
      <c r="E31" s="17">
        <f t="shared" si="21"/>
        <v>0</v>
      </c>
      <c r="F31" s="15">
        <v>0.82142857125000002</v>
      </c>
      <c r="G31" s="16">
        <v>0.7857142855</v>
      </c>
      <c r="H31" s="16">
        <f t="shared" si="22"/>
        <v>-3.5714285750000019E-2</v>
      </c>
      <c r="I31" s="17">
        <f t="shared" si="23"/>
        <v>-4.3478260922495293E-2</v>
      </c>
      <c r="J31" s="76">
        <v>23</v>
      </c>
      <c r="K31" s="77">
        <v>22</v>
      </c>
      <c r="L31" s="77">
        <f t="shared" si="24"/>
        <v>-1</v>
      </c>
      <c r="M31" s="50">
        <f t="shared" si="25"/>
        <v>-4.3478260869565216E-2</v>
      </c>
      <c r="N31" s="61">
        <v>39499.553514897001</v>
      </c>
      <c r="O31" s="62">
        <v>33924.652773059999</v>
      </c>
      <c r="P31" s="261">
        <f t="shared" si="26"/>
        <v>-5574.900741837002</v>
      </c>
      <c r="Q31" s="17">
        <f t="shared" si="27"/>
        <v>-0.14113832298723236</v>
      </c>
      <c r="R31" s="71">
        <v>6.0074847350797267E-3</v>
      </c>
      <c r="S31" s="72">
        <v>-4.7614512903548789E-4</v>
      </c>
      <c r="T31" s="73">
        <f t="shared" si="28"/>
        <v>-6.4836298641152146E-3</v>
      </c>
      <c r="U31" s="50">
        <f t="shared" si="29"/>
        <v>-1.0792586498397767</v>
      </c>
      <c r="V31" s="268">
        <v>4099.0008555598397</v>
      </c>
      <c r="W31" s="269">
        <v>4134.86298664471</v>
      </c>
      <c r="X31" s="269">
        <f t="shared" si="18"/>
        <v>35.862131084870271</v>
      </c>
      <c r="Y31" s="270">
        <f t="shared" si="19"/>
        <v>8.7489933153410467E-3</v>
      </c>
      <c r="Z31" s="15">
        <v>1.03057981733982</v>
      </c>
      <c r="AA31" s="16">
        <v>1.06166493609623</v>
      </c>
      <c r="AB31" s="16">
        <f t="shared" si="30"/>
        <v>3.1085118756410068E-2</v>
      </c>
      <c r="AC31" s="17">
        <f t="shared" si="31"/>
        <v>3.0162747448953937E-2</v>
      </c>
      <c r="AD31" s="15">
        <v>20.717857142749999</v>
      </c>
      <c r="AE31" s="16">
        <v>22.15357142825</v>
      </c>
      <c r="AF31" s="16">
        <f t="shared" si="32"/>
        <v>1.4357142855000014</v>
      </c>
      <c r="AG31" s="17">
        <f t="shared" si="33"/>
        <v>6.9298396818148478E-2</v>
      </c>
      <c r="AH31" s="15">
        <v>21.863471244999999</v>
      </c>
      <c r="AI31" s="16">
        <v>23.355679117499999</v>
      </c>
      <c r="AJ31" s="16">
        <f t="shared" si="34"/>
        <v>1.4922078724999999</v>
      </c>
      <c r="AK31" s="17">
        <f t="shared" si="35"/>
        <v>6.825118736994959E-2</v>
      </c>
    </row>
    <row r="32" spans="1:38" x14ac:dyDescent="0.3">
      <c r="A32" s="1" t="s">
        <v>5</v>
      </c>
      <c r="B32" s="23">
        <v>35</v>
      </c>
      <c r="C32" s="24">
        <v>35</v>
      </c>
      <c r="D32" s="24">
        <f t="shared" si="20"/>
        <v>0</v>
      </c>
      <c r="E32" s="17">
        <f t="shared" si="21"/>
        <v>0</v>
      </c>
      <c r="F32" s="15">
        <v>0.85714285700000004</v>
      </c>
      <c r="G32" s="16">
        <v>0.85714285700000004</v>
      </c>
      <c r="H32" s="16">
        <f t="shared" si="22"/>
        <v>0</v>
      </c>
      <c r="I32" s="17">
        <f t="shared" si="23"/>
        <v>0</v>
      </c>
      <c r="J32" s="76">
        <v>30</v>
      </c>
      <c r="K32" s="77">
        <v>30</v>
      </c>
      <c r="L32" s="77">
        <f t="shared" si="24"/>
        <v>0</v>
      </c>
      <c r="M32" s="50">
        <f t="shared" si="25"/>
        <v>0</v>
      </c>
      <c r="N32" s="61">
        <v>39499.553514897001</v>
      </c>
      <c r="O32" s="62">
        <v>33924.652773059999</v>
      </c>
      <c r="P32" s="261">
        <f t="shared" si="26"/>
        <v>-5574.900741837002</v>
      </c>
      <c r="Q32" s="17">
        <f t="shared" si="27"/>
        <v>-0.14113832298723236</v>
      </c>
      <c r="R32" s="71">
        <v>4.8947626040130032E-4</v>
      </c>
      <c r="S32" s="72">
        <v>-6.6692073170726562E-4</v>
      </c>
      <c r="T32" s="73">
        <f t="shared" si="28"/>
        <v>-1.1563969921085659E-3</v>
      </c>
      <c r="U32" s="50">
        <f t="shared" si="29"/>
        <v>-2.3625190548781392</v>
      </c>
      <c r="V32" s="268">
        <v>4059.7521062595902</v>
      </c>
      <c r="W32" s="269">
        <v>4134.86298664471</v>
      </c>
      <c r="X32" s="269">
        <f t="shared" si="18"/>
        <v>75.110880385119799</v>
      </c>
      <c r="Y32" s="270">
        <f t="shared" si="19"/>
        <v>1.8501346490912327E-2</v>
      </c>
      <c r="Z32" s="15">
        <v>1.0250466957276601</v>
      </c>
      <c r="AA32" s="16">
        <v>1.0885132108392599</v>
      </c>
      <c r="AB32" s="16">
        <f t="shared" si="30"/>
        <v>6.3466515111599842E-2</v>
      </c>
      <c r="AC32" s="17">
        <f t="shared" si="31"/>
        <v>6.1915730645369517E-2</v>
      </c>
      <c r="AD32" s="15">
        <v>16.919999999600002</v>
      </c>
      <c r="AE32" s="16">
        <v>16.9999999998</v>
      </c>
      <c r="AF32" s="16">
        <f t="shared" si="32"/>
        <v>8.0000000199998311E-2</v>
      </c>
      <c r="AG32" s="17">
        <f t="shared" si="33"/>
        <v>4.7281323996388623E-3</v>
      </c>
      <c r="AH32" s="15">
        <v>17.837220252000002</v>
      </c>
      <c r="AI32" s="16">
        <v>20.273258802000001</v>
      </c>
      <c r="AJ32" s="16">
        <f t="shared" si="34"/>
        <v>2.4360385499999992</v>
      </c>
      <c r="AK32" s="17">
        <f t="shared" si="35"/>
        <v>0.13657052587702717</v>
      </c>
    </row>
    <row r="33" spans="1:37" x14ac:dyDescent="0.3">
      <c r="A33" s="1" t="s">
        <v>6</v>
      </c>
      <c r="B33" s="23">
        <v>28</v>
      </c>
      <c r="C33" s="24">
        <v>28</v>
      </c>
      <c r="D33" s="24">
        <f t="shared" si="20"/>
        <v>0</v>
      </c>
      <c r="E33" s="17">
        <f t="shared" si="21"/>
        <v>0</v>
      </c>
      <c r="F33" s="15">
        <v>0.85714285700000004</v>
      </c>
      <c r="G33" s="16">
        <v>0.7857142855</v>
      </c>
      <c r="H33" s="16">
        <f t="shared" si="22"/>
        <v>-7.1428571500000038E-2</v>
      </c>
      <c r="I33" s="17">
        <f t="shared" si="23"/>
        <v>-8.3333333430555601E-2</v>
      </c>
      <c r="J33" s="76">
        <v>24</v>
      </c>
      <c r="K33" s="77">
        <v>22</v>
      </c>
      <c r="L33" s="77">
        <f t="shared" si="24"/>
        <v>-2</v>
      </c>
      <c r="M33" s="50">
        <f t="shared" si="25"/>
        <v>-8.3333333333333329E-2</v>
      </c>
      <c r="N33" s="61">
        <v>38066.044998646998</v>
      </c>
      <c r="O33" s="62">
        <v>34711.055961499842</v>
      </c>
      <c r="P33" s="261">
        <f t="shared" si="26"/>
        <v>-3354.9890371471556</v>
      </c>
      <c r="Q33" s="17">
        <f t="shared" si="27"/>
        <v>-8.8136002499508523E-2</v>
      </c>
      <c r="R33" s="71">
        <v>2.2504892367907203E-3</v>
      </c>
      <c r="S33" s="72">
        <v>9.5337973114695274E-4</v>
      </c>
      <c r="T33" s="73">
        <f t="shared" si="28"/>
        <v>-1.2971095056437676E-3</v>
      </c>
      <c r="U33" s="50">
        <f t="shared" si="29"/>
        <v>-0.57636778902950592</v>
      </c>
      <c r="V33" s="268">
        <v>4028.22632018992</v>
      </c>
      <c r="W33" s="269">
        <v>4134.86298664471</v>
      </c>
      <c r="X33" s="269">
        <f t="shared" si="18"/>
        <v>106.63666645478997</v>
      </c>
      <c r="Y33" s="270">
        <f t="shared" si="19"/>
        <v>2.6472362270291292E-2</v>
      </c>
      <c r="Z33" s="15">
        <v>1.01125218246168</v>
      </c>
      <c r="AA33" s="16">
        <v>1.08625219197934</v>
      </c>
      <c r="AB33" s="16">
        <f t="shared" si="30"/>
        <v>7.5000009517659949E-2</v>
      </c>
      <c r="AC33" s="17">
        <f t="shared" si="31"/>
        <v>7.4165485937531681E-2</v>
      </c>
      <c r="AD33" s="15">
        <v>15.8928571425</v>
      </c>
      <c r="AE33" s="16">
        <v>15.474999999750001</v>
      </c>
      <c r="AF33" s="16">
        <f t="shared" si="32"/>
        <v>-0.41785714274999997</v>
      </c>
      <c r="AG33" s="17">
        <f t="shared" si="33"/>
        <v>-2.6292134825309933E-2</v>
      </c>
      <c r="AH33" s="15">
        <v>16.7924351375</v>
      </c>
      <c r="AI33" s="16">
        <v>14.834197359999999</v>
      </c>
      <c r="AJ33" s="16">
        <f t="shared" si="34"/>
        <v>-1.9582377775000008</v>
      </c>
      <c r="AK33" s="17">
        <f t="shared" si="35"/>
        <v>-0.11661428264962985</v>
      </c>
    </row>
    <row r="34" spans="1:37" x14ac:dyDescent="0.3">
      <c r="A34" s="1" t="s">
        <v>7</v>
      </c>
      <c r="B34" s="23">
        <v>28</v>
      </c>
      <c r="C34" s="24">
        <v>28</v>
      </c>
      <c r="D34" s="24">
        <f t="shared" si="20"/>
        <v>0</v>
      </c>
      <c r="E34" s="17">
        <f t="shared" si="21"/>
        <v>0</v>
      </c>
      <c r="F34" s="15">
        <v>0.82142857125000002</v>
      </c>
      <c r="G34" s="16">
        <v>0.82142857125000002</v>
      </c>
      <c r="H34" s="16">
        <f t="shared" si="22"/>
        <v>0</v>
      </c>
      <c r="I34" s="17">
        <f t="shared" si="23"/>
        <v>0</v>
      </c>
      <c r="J34" s="76">
        <v>23</v>
      </c>
      <c r="K34" s="77">
        <v>23</v>
      </c>
      <c r="L34" s="77">
        <f t="shared" si="24"/>
        <v>0</v>
      </c>
      <c r="M34" s="50">
        <f t="shared" si="25"/>
        <v>0</v>
      </c>
      <c r="N34" s="61">
        <v>38066.044998646998</v>
      </c>
      <c r="O34" s="62">
        <v>34711.055961499842</v>
      </c>
      <c r="P34" s="261">
        <f t="shared" si="26"/>
        <v>-3354.9890371471556</v>
      </c>
      <c r="Q34" s="17">
        <f t="shared" si="27"/>
        <v>-8.8136002499508523E-2</v>
      </c>
      <c r="R34" s="71">
        <v>1.8549253148492095E-3</v>
      </c>
      <c r="S34" s="72">
        <v>1.3334603295551695E-3</v>
      </c>
      <c r="T34" s="73">
        <f t="shared" si="28"/>
        <v>-5.2146498529404006E-4</v>
      </c>
      <c r="U34" s="50">
        <f t="shared" si="29"/>
        <v>-0.28112451812456446</v>
      </c>
      <c r="V34" s="268">
        <v>4074.4589034877299</v>
      </c>
      <c r="W34" s="269">
        <v>4200.6073081323602</v>
      </c>
      <c r="X34" s="269">
        <f t="shared" si="18"/>
        <v>126.14840464463032</v>
      </c>
      <c r="Y34" s="270">
        <f t="shared" si="19"/>
        <v>3.0960774825007437E-2</v>
      </c>
      <c r="Z34" s="15">
        <v>1.02222858122667</v>
      </c>
      <c r="AA34" s="16">
        <v>1.0727538210434799</v>
      </c>
      <c r="AB34" s="16">
        <f t="shared" si="30"/>
        <v>5.0525239816809897E-2</v>
      </c>
      <c r="AC34" s="17">
        <f t="shared" si="31"/>
        <v>4.9426557567173304E-2</v>
      </c>
      <c r="AD34" s="15">
        <v>18.8678571425</v>
      </c>
      <c r="AE34" s="16">
        <v>17.546428571</v>
      </c>
      <c r="AF34" s="16">
        <f t="shared" si="32"/>
        <v>-1.3214285715000003</v>
      </c>
      <c r="AG34" s="17">
        <f t="shared" si="33"/>
        <v>-7.0035964419270055E-2</v>
      </c>
      <c r="AH34" s="15">
        <v>18.092583757500002</v>
      </c>
      <c r="AI34" s="16">
        <v>19.052669989999998</v>
      </c>
      <c r="AJ34" s="16">
        <f t="shared" si="34"/>
        <v>0.96008623249999658</v>
      </c>
      <c r="AK34" s="17">
        <f t="shared" si="35"/>
        <v>5.3065181035959426E-2</v>
      </c>
    </row>
    <row r="35" spans="1:37" x14ac:dyDescent="0.3">
      <c r="A35" s="1" t="s">
        <v>8</v>
      </c>
      <c r="B35" s="23">
        <v>35</v>
      </c>
      <c r="C35" s="24">
        <v>35</v>
      </c>
      <c r="D35" s="24">
        <f t="shared" si="20"/>
        <v>0</v>
      </c>
      <c r="E35" s="17">
        <f t="shared" si="21"/>
        <v>0</v>
      </c>
      <c r="F35" s="15">
        <v>0.77142857119999997</v>
      </c>
      <c r="G35" s="16">
        <v>0.79999999980000003</v>
      </c>
      <c r="H35" s="16">
        <f t="shared" si="22"/>
        <v>2.8571428600000059E-2</v>
      </c>
      <c r="I35" s="17">
        <f t="shared" si="23"/>
        <v>3.7037037085048088E-2</v>
      </c>
      <c r="J35" s="76">
        <v>27</v>
      </c>
      <c r="K35" s="77">
        <v>28</v>
      </c>
      <c r="L35" s="77">
        <f t="shared" si="24"/>
        <v>1</v>
      </c>
      <c r="M35" s="50">
        <f t="shared" si="25"/>
        <v>3.7037037037037035E-2</v>
      </c>
      <c r="N35" s="61">
        <v>38066.044998646998</v>
      </c>
      <c r="O35" s="62">
        <v>34711.055961499842</v>
      </c>
      <c r="P35" s="261">
        <f t="shared" si="26"/>
        <v>-3354.9890371471556</v>
      </c>
      <c r="Q35" s="17">
        <f t="shared" si="27"/>
        <v>-8.8136002499508523E-2</v>
      </c>
      <c r="R35" s="71">
        <v>9.7446891444086248E-5</v>
      </c>
      <c r="S35" s="72">
        <v>6.3730619233330899E-3</v>
      </c>
      <c r="T35" s="73">
        <f t="shared" si="28"/>
        <v>6.2756150318890036E-3</v>
      </c>
      <c r="U35" s="50">
        <f t="shared" si="29"/>
        <v>64.400361457295631</v>
      </c>
      <c r="V35" s="268">
        <v>4031.7492983876</v>
      </c>
      <c r="W35" s="269">
        <v>4200.6073081323602</v>
      </c>
      <c r="X35" s="269">
        <f t="shared" si="18"/>
        <v>168.85800974476024</v>
      </c>
      <c r="Y35" s="270">
        <f t="shared" si="19"/>
        <v>4.1882070845102121E-2</v>
      </c>
      <c r="Z35" s="15">
        <v>1.01515654181295</v>
      </c>
      <c r="AA35" s="16">
        <v>1.0630242976766699</v>
      </c>
      <c r="AB35" s="16">
        <f t="shared" si="30"/>
        <v>4.7867755863719941E-2</v>
      </c>
      <c r="AC35" s="17">
        <f t="shared" si="31"/>
        <v>4.7153078261441106E-2</v>
      </c>
      <c r="AD35" s="15">
        <v>20.905714285199998</v>
      </c>
      <c r="AE35" s="16">
        <v>19.965714285400001</v>
      </c>
      <c r="AF35" s="16">
        <f t="shared" si="32"/>
        <v>-0.93999999979999771</v>
      </c>
      <c r="AG35" s="17">
        <f t="shared" si="33"/>
        <v>-4.4963782962702294E-2</v>
      </c>
      <c r="AH35" s="15">
        <v>20.036474510000001</v>
      </c>
      <c r="AI35" s="16">
        <v>20.864757116</v>
      </c>
      <c r="AJ35" s="16">
        <f t="shared" si="34"/>
        <v>0.82828260599999837</v>
      </c>
      <c r="AK35" s="17">
        <f t="shared" si="35"/>
        <v>4.1338739786114118E-2</v>
      </c>
    </row>
    <row r="36" spans="1:37" x14ac:dyDescent="0.3">
      <c r="A36" s="1" t="s">
        <v>9</v>
      </c>
      <c r="B36" s="23">
        <v>28</v>
      </c>
      <c r="C36" s="24">
        <v>28</v>
      </c>
      <c r="D36" s="24">
        <f t="shared" si="20"/>
        <v>0</v>
      </c>
      <c r="E36" s="17">
        <f t="shared" si="21"/>
        <v>0</v>
      </c>
      <c r="F36" s="15">
        <v>0.85714285700000004</v>
      </c>
      <c r="G36" s="16">
        <v>0.82142857125000002</v>
      </c>
      <c r="H36" s="16">
        <f t="shared" si="22"/>
        <v>-3.5714285750000019E-2</v>
      </c>
      <c r="I36" s="17">
        <f t="shared" si="23"/>
        <v>-4.16666667152778E-2</v>
      </c>
      <c r="J36" s="76">
        <v>24</v>
      </c>
      <c r="K36" s="77">
        <v>23</v>
      </c>
      <c r="L36" s="77">
        <f t="shared" si="24"/>
        <v>-1</v>
      </c>
      <c r="M36" s="50">
        <f t="shared" si="25"/>
        <v>-4.1666666666666664E-2</v>
      </c>
      <c r="N36" s="61">
        <v>39667.252090048001</v>
      </c>
      <c r="O36" s="62">
        <v>39943.997285462901</v>
      </c>
      <c r="P36" s="261">
        <f t="shared" si="26"/>
        <v>276.74519541490008</v>
      </c>
      <c r="Q36" s="17">
        <f t="shared" si="27"/>
        <v>6.9766666666666293E-3</v>
      </c>
      <c r="R36" s="71">
        <v>8.184741303712384E-3</v>
      </c>
      <c r="S36" s="72">
        <v>2.0000000000000018E-3</v>
      </c>
      <c r="T36" s="73">
        <f t="shared" si="28"/>
        <v>-6.1847413037123822E-3</v>
      </c>
      <c r="U36" s="50">
        <f t="shared" si="29"/>
        <v>-0.7556428571428575</v>
      </c>
      <c r="V36" s="268">
        <v>4023.8011433143502</v>
      </c>
      <c r="W36" s="269">
        <v>4200.6073081323602</v>
      </c>
      <c r="X36" s="269">
        <f t="shared" si="18"/>
        <v>176.80616481801007</v>
      </c>
      <c r="Y36" s="270">
        <f t="shared" si="19"/>
        <v>4.3940085138595403E-2</v>
      </c>
      <c r="Z36" s="15">
        <v>1.0245131839663399</v>
      </c>
      <c r="AA36" s="16">
        <v>1.0612675628211601</v>
      </c>
      <c r="AB36" s="16">
        <f t="shared" si="30"/>
        <v>3.6754378854820136E-2</v>
      </c>
      <c r="AC36" s="17">
        <f t="shared" si="31"/>
        <v>3.5874969136588185E-2</v>
      </c>
      <c r="AD36" s="15">
        <v>22.985714285250001</v>
      </c>
      <c r="AE36" s="16">
        <v>23.374999999500002</v>
      </c>
      <c r="AF36" s="16">
        <f t="shared" si="32"/>
        <v>0.38928571425000058</v>
      </c>
      <c r="AG36" s="17">
        <f t="shared" si="33"/>
        <v>1.6935985082691396E-2</v>
      </c>
      <c r="AH36" s="15">
        <v>24.820115272500001</v>
      </c>
      <c r="AI36" s="16">
        <v>25.254081145000001</v>
      </c>
      <c r="AJ36" s="16">
        <f t="shared" si="34"/>
        <v>0.43396587249999996</v>
      </c>
      <c r="AK36" s="17">
        <f t="shared" si="35"/>
        <v>1.7484442265295282E-2</v>
      </c>
    </row>
    <row r="37" spans="1:37" x14ac:dyDescent="0.3">
      <c r="A37" s="1" t="s">
        <v>10</v>
      </c>
      <c r="B37" s="23">
        <v>28</v>
      </c>
      <c r="C37" s="24">
        <v>28</v>
      </c>
      <c r="D37" s="24">
        <f t="shared" si="20"/>
        <v>0</v>
      </c>
      <c r="E37" s="80">
        <f t="shared" si="21"/>
        <v>0</v>
      </c>
      <c r="F37" s="15">
        <v>0.82142857125000002</v>
      </c>
      <c r="G37" s="16">
        <v>0.82142857125000002</v>
      </c>
      <c r="H37" s="16">
        <f t="shared" si="22"/>
        <v>0</v>
      </c>
      <c r="I37" s="80">
        <f t="shared" si="23"/>
        <v>0</v>
      </c>
      <c r="J37" s="76">
        <v>23</v>
      </c>
      <c r="K37" s="77">
        <v>23</v>
      </c>
      <c r="L37" s="77">
        <f t="shared" si="24"/>
        <v>0</v>
      </c>
      <c r="M37" s="50">
        <f t="shared" si="25"/>
        <v>0</v>
      </c>
      <c r="N37" s="61">
        <v>39667.252090048001</v>
      </c>
      <c r="O37" s="62">
        <v>39943.997285462901</v>
      </c>
      <c r="P37" s="261">
        <f t="shared" si="26"/>
        <v>276.74519541490008</v>
      </c>
      <c r="Q37" s="80">
        <f t="shared" si="27"/>
        <v>6.9766666666666293E-3</v>
      </c>
      <c r="R37" s="71">
        <v>7.731709674301257E-4</v>
      </c>
      <c r="S37" s="72">
        <v>1.4000000000000679E-3</v>
      </c>
      <c r="T37" s="73">
        <f t="shared" si="28"/>
        <v>6.2682903256994216E-4</v>
      </c>
      <c r="U37" s="50">
        <f t="shared" si="29"/>
        <v>0.81072500000019854</v>
      </c>
      <c r="V37" s="268">
        <v>3992.9380714705399</v>
      </c>
      <c r="W37" s="269">
        <v>4200.6073081323602</v>
      </c>
      <c r="X37" s="269">
        <f t="shared" si="18"/>
        <v>207.66923666182038</v>
      </c>
      <c r="Y37" s="270">
        <f t="shared" si="19"/>
        <v>5.2009130355818133E-2</v>
      </c>
      <c r="Z37" s="15">
        <v>1.01412608499109</v>
      </c>
      <c r="AA37" s="16">
        <v>1.0612675628211601</v>
      </c>
      <c r="AB37" s="16">
        <f t="shared" si="30"/>
        <v>4.7141477830070055E-2</v>
      </c>
      <c r="AC37" s="80">
        <f t="shared" si="31"/>
        <v>4.6484829182245356E-2</v>
      </c>
      <c r="AD37" s="15">
        <v>26.682142856750001</v>
      </c>
      <c r="AE37" s="16">
        <v>24.110714285250001</v>
      </c>
      <c r="AF37" s="16">
        <f t="shared" si="32"/>
        <v>-2.5714285715000003</v>
      </c>
      <c r="AG37" s="80">
        <f t="shared" si="33"/>
        <v>-9.6372640882157815E-2</v>
      </c>
      <c r="AH37" s="15">
        <v>27.9213897775</v>
      </c>
      <c r="AI37" s="16">
        <v>27.185594545000001</v>
      </c>
      <c r="AJ37" s="16">
        <f t="shared" si="34"/>
        <v>-0.73579523249999923</v>
      </c>
      <c r="AK37" s="80">
        <f t="shared" si="35"/>
        <v>-2.6352385692954578E-2</v>
      </c>
    </row>
    <row r="38" spans="1:37" ht="15" thickBot="1" x14ac:dyDescent="0.35">
      <c r="A38" s="4" t="s">
        <v>11</v>
      </c>
      <c r="B38" s="25">
        <v>39</v>
      </c>
      <c r="C38" s="26">
        <v>41</v>
      </c>
      <c r="D38" s="26">
        <f t="shared" si="20"/>
        <v>2</v>
      </c>
      <c r="E38" s="20">
        <f t="shared" si="21"/>
        <v>5.128205128205128E-2</v>
      </c>
      <c r="F38" s="18">
        <v>0.83116883100000005</v>
      </c>
      <c r="G38" s="19">
        <v>0.81098901079999997</v>
      </c>
      <c r="H38" s="19">
        <f t="shared" si="22"/>
        <v>-2.0179820200000087E-2</v>
      </c>
      <c r="I38" s="20">
        <f t="shared" si="23"/>
        <v>-2.4278846183056743E-2</v>
      </c>
      <c r="J38" s="78">
        <v>32</v>
      </c>
      <c r="K38" s="79">
        <v>33</v>
      </c>
      <c r="L38" s="79">
        <f t="shared" si="24"/>
        <v>1</v>
      </c>
      <c r="M38" s="54">
        <f t="shared" si="25"/>
        <v>3.125E-2</v>
      </c>
      <c r="N38" s="63">
        <v>39667.252090048001</v>
      </c>
      <c r="O38" s="64">
        <v>39943.997285462901</v>
      </c>
      <c r="P38" s="264">
        <f t="shared" si="26"/>
        <v>276.74519541490008</v>
      </c>
      <c r="Q38" s="20">
        <f t="shared" si="27"/>
        <v>6.9766666666666293E-3</v>
      </c>
      <c r="R38" s="74">
        <v>1.0622887493965116E-3</v>
      </c>
      <c r="S38" s="75">
        <v>0</v>
      </c>
      <c r="T38" s="59">
        <f t="shared" si="28"/>
        <v>-1.0622887493965116E-3</v>
      </c>
      <c r="U38" s="54">
        <f t="shared" si="29"/>
        <v>-1</v>
      </c>
      <c r="V38" s="271">
        <v>4087.10972490327</v>
      </c>
      <c r="W38" s="272">
        <v>4200.6073081323602</v>
      </c>
      <c r="X38" s="272">
        <f t="shared" si="18"/>
        <v>113.4975832290902</v>
      </c>
      <c r="Y38" s="275">
        <f t="shared" si="19"/>
        <v>2.7769644288611887E-2</v>
      </c>
      <c r="Z38" s="18">
        <v>1.0214332241480899</v>
      </c>
      <c r="AA38" s="147">
        <v>1.06848418224834</v>
      </c>
      <c r="AB38" s="19">
        <f t="shared" si="30"/>
        <v>4.7050958100250062E-2</v>
      </c>
      <c r="AC38" s="20">
        <f t="shared" si="31"/>
        <v>4.6063665238118882E-2</v>
      </c>
      <c r="AD38" s="18">
        <v>28.325974025400001</v>
      </c>
      <c r="AE38" s="19">
        <v>26.5527472524</v>
      </c>
      <c r="AF38" s="19">
        <f t="shared" si="32"/>
        <v>-1.7732267730000011</v>
      </c>
      <c r="AG38" s="20">
        <f t="shared" si="33"/>
        <v>-6.2600734273424899E-2</v>
      </c>
      <c r="AH38" s="18">
        <v>30.695088972000001</v>
      </c>
      <c r="AI38" s="19">
        <v>29.542464282000001</v>
      </c>
      <c r="AJ38" s="19">
        <f t="shared" si="34"/>
        <v>-1.1526246899999997</v>
      </c>
      <c r="AK38" s="20">
        <f t="shared" si="35"/>
        <v>-3.7550785112609432E-2</v>
      </c>
    </row>
    <row r="39" spans="1:37" ht="15" thickBot="1" x14ac:dyDescent="0.35">
      <c r="A39" s="4" t="s">
        <v>15</v>
      </c>
      <c r="B39" s="25">
        <f>SUM(B27:B38)</f>
        <v>365</v>
      </c>
      <c r="C39" s="26">
        <f>SUM(C27:C38)</f>
        <v>366</v>
      </c>
      <c r="D39" s="26">
        <f>C39-B39</f>
        <v>1</v>
      </c>
      <c r="E39" s="83">
        <f>(C39-B39)/B39</f>
        <v>2.7397260273972603E-3</v>
      </c>
      <c r="F39" s="18">
        <f>(4*SUM(F27:F28,F30:F31,F33:F34,F36:F37)+5*SUM(F29,F32,F35,F38))/52</f>
        <v>0.83335414569230792</v>
      </c>
      <c r="G39" s="19">
        <f>(4*SUM(G27:G28,G30:G31,G33:G34,G36:G37)+5*SUM(G29,G32,G35,G38))/52</f>
        <v>0.81882220324999999</v>
      </c>
      <c r="H39" s="19">
        <f>G39-F39</f>
        <v>-1.4531942442307932E-2</v>
      </c>
      <c r="I39" s="83">
        <f>(G39-F39)/F39</f>
        <v>-1.7437895422282371E-2</v>
      </c>
      <c r="J39" s="78">
        <f>SUM(J27:J38)</f>
        <v>304</v>
      </c>
      <c r="K39" s="79">
        <f>SUM(K27:K38)</f>
        <v>300</v>
      </c>
      <c r="L39" s="79">
        <f t="shared" ref="L39" si="36">K39-J39</f>
        <v>-4</v>
      </c>
      <c r="M39" s="92">
        <f t="shared" ref="M39" si="37">(K39-J39)/J39</f>
        <v>-1.3157894736842105E-2</v>
      </c>
      <c r="N39" s="63">
        <f>(4*SUM(N27:N28,N30:N31,N33:N34,N36:N37)+5*SUM(N29,N32,N35,N38))/52</f>
        <v>38797.495645062503</v>
      </c>
      <c r="O39" s="64">
        <f>(4*SUM(O27:O28,O30:O31,O33:O34,O36:O37)+5*SUM(O29,O32,O35,O38))/52</f>
        <v>36656.555942852938</v>
      </c>
      <c r="P39" s="264">
        <f>O39-N39</f>
        <v>-2140.9397022095654</v>
      </c>
      <c r="Q39" s="83">
        <f>(O39-N39)/N39</f>
        <v>-5.5182420066384581E-2</v>
      </c>
      <c r="R39" s="57">
        <f>PRODUCT((1+R27),(1+R28),(1+R29),(1+R30),(1+R31),(1+R32),(1+R33),(1+R34),(1+R35),(1+R36),(1+R37),(1+R38))-1</f>
        <v>3.0007949125596456E-2</v>
      </c>
      <c r="S39" s="58">
        <f>PRODUCT((1+S27),(1+S28),(1+S29),(1+S30),(1+S31),(1+S32),(1+S33),(1+S34),(1+S35),(1+S36),(1+S37),(1+S38))-1</f>
        <v>2.4117463245225457E-2</v>
      </c>
      <c r="T39" s="59">
        <f>S39-R39</f>
        <v>-5.8904858803709992E-3</v>
      </c>
      <c r="U39" s="54">
        <f>(S39-R39)/ABS(R39)</f>
        <v>-0.19629751622534172</v>
      </c>
      <c r="V39" s="273">
        <f>(4*SUM(V27:V28,V30:V31,V33:V34,V36:V37)+5*SUM(V29,V32,V35,V38))/52</f>
        <v>4017.4292720646781</v>
      </c>
      <c r="W39" s="274">
        <f>(4*SUM(W27:W28,W30:W31,W33:W34,W36:W37)+5*SUM(W29,W32,W35,W38))/52</f>
        <v>4156.7071926885365</v>
      </c>
      <c r="X39" s="274">
        <f t="shared" si="18"/>
        <v>139.27792062385834</v>
      </c>
      <c r="Y39" s="200">
        <f t="shared" si="19"/>
        <v>3.4668418830004495E-2</v>
      </c>
      <c r="Z39" s="18">
        <f>(4*SUM(Z27:Z28,Z30:Z31,Z33:Z34,Z36:Z37)+5*SUM(Z29,Z32,Z35,Z38))/52</f>
        <v>1.0254147661129829</v>
      </c>
      <c r="AA39" s="202">
        <f>(4*SUM(AA27:AA28,AA30:AA31,AA33:AA34,AA36:AA37)+5*SUM(AA29,AA32,AA35,AA38))/52</f>
        <v>1.0644335338828612</v>
      </c>
      <c r="AB39" s="19">
        <f>AA39-Z39</f>
        <v>3.9018767769878338E-2</v>
      </c>
      <c r="AC39" s="169">
        <f>(AA39-Z39)/Z39</f>
        <v>3.8051692894755088E-2</v>
      </c>
      <c r="AD39" s="18">
        <f>(4*SUM(AD27:AD28,AD30:AD31,AD33:AD34,AD36:AD37)+5*SUM(AD29,AD32,AD35,AD38))/52</f>
        <v>23.531412337288462</v>
      </c>
      <c r="AE39" s="19">
        <f>(4*SUM(AE27:AE28,AE30:AE31,AE33:AE34,AE36:AE37)+5*SUM(AE29,AE32,AE35,AE38))/52</f>
        <v>23.361115806903847</v>
      </c>
      <c r="AF39" s="19">
        <f>AE39-AD39</f>
        <v>-0.1702965303846149</v>
      </c>
      <c r="AG39" s="83">
        <f>(AE39-AD39)/AD39</f>
        <v>-7.2369872213219767E-3</v>
      </c>
      <c r="AH39" s="18">
        <f>(4*SUM(AH27:AH28,AH30:AH31,AH33:AH34,AH36:AH37)+5*SUM(AH29,AH32,AH35,AH38))/52</f>
        <v>24.512333040961536</v>
      </c>
      <c r="AI39" s="19">
        <f>(4*SUM(AI27:AI28,AI30:AI31,AI33:AI34,AI36:AI37)+5*SUM(AI29,AI32,AI35,AI38))/52</f>
        <v>25.083992860769232</v>
      </c>
      <c r="AJ39" s="19">
        <f>AI39-AH39</f>
        <v>0.57165981980769587</v>
      </c>
      <c r="AK39" s="169">
        <f>(AI39-AH39)/AH39</f>
        <v>2.3321314166726562E-2</v>
      </c>
    </row>
  </sheetData>
  <mergeCells count="41">
    <mergeCell ref="AD7:AG7"/>
    <mergeCell ref="AD24:AG24"/>
    <mergeCell ref="AH7:AK7"/>
    <mergeCell ref="AH24:AK24"/>
    <mergeCell ref="B24:M24"/>
    <mergeCell ref="B7:M7"/>
    <mergeCell ref="AH8:AK8"/>
    <mergeCell ref="B8:E8"/>
    <mergeCell ref="F8:I8"/>
    <mergeCell ref="N8:Q8"/>
    <mergeCell ref="R8:U8"/>
    <mergeCell ref="Z7:AC7"/>
    <mergeCell ref="Z8:AC8"/>
    <mergeCell ref="AD8:AG8"/>
    <mergeCell ref="Z24:AC24"/>
    <mergeCell ref="AH1:AK5"/>
    <mergeCell ref="B1:E5"/>
    <mergeCell ref="F1:I5"/>
    <mergeCell ref="N1:Q5"/>
    <mergeCell ref="R1:U5"/>
    <mergeCell ref="V1:Y5"/>
    <mergeCell ref="Z1:AC5"/>
    <mergeCell ref="AD1:AG5"/>
    <mergeCell ref="N24:Q24"/>
    <mergeCell ref="R24:U24"/>
    <mergeCell ref="V25:Y25"/>
    <mergeCell ref="J25:M25"/>
    <mergeCell ref="J1:M5"/>
    <mergeCell ref="V8:Y8"/>
    <mergeCell ref="N7:Q7"/>
    <mergeCell ref="R7:U7"/>
    <mergeCell ref="V7:Y7"/>
    <mergeCell ref="J8:M8"/>
    <mergeCell ref="V24:Y24"/>
    <mergeCell ref="Z25:AC25"/>
    <mergeCell ref="AD25:AG25"/>
    <mergeCell ref="AH25:AK25"/>
    <mergeCell ref="B25:E25"/>
    <mergeCell ref="F25:I25"/>
    <mergeCell ref="N25:Q25"/>
    <mergeCell ref="R25:U25"/>
  </mergeCells>
  <pageMargins left="0.7" right="0.7" top="0.75" bottom="0.75" header="0.3" footer="0.3"/>
  <pageSetup paperSize="9"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M1048555"/>
  <sheetViews>
    <sheetView showGridLines="0" zoomScale="80" zoomScaleNormal="80" workbookViewId="0">
      <pane xSplit="1" topLeftCell="B1" activePane="topRight" state="frozen"/>
      <selection pane="topRight" activeCell="H4" sqref="H4"/>
    </sheetView>
  </sheetViews>
  <sheetFormatPr baseColWidth="10" defaultColWidth="23" defaultRowHeight="14.4" outlineLevelRow="1" x14ac:dyDescent="0.3"/>
  <cols>
    <col min="1" max="1" width="12.88671875" bestFit="1" customWidth="1"/>
    <col min="2" max="2" width="16.5546875" customWidth="1"/>
    <col min="3" max="3" width="13.33203125" customWidth="1"/>
    <col min="4" max="4" width="14.6640625" customWidth="1"/>
    <col min="5" max="5" width="16.5546875" bestFit="1" customWidth="1"/>
    <col min="6" max="6" width="21.88671875" customWidth="1"/>
    <col min="7" max="7" width="14.88671875" bestFit="1" customWidth="1"/>
    <col min="8" max="8" width="14.88671875" style="250" customWidth="1"/>
    <col min="9" max="9" width="14.6640625" customWidth="1"/>
    <col min="10" max="10" width="17.109375" bestFit="1" customWidth="1"/>
    <col min="11" max="11" width="17" style="3" bestFit="1" customWidth="1"/>
    <col min="12" max="12" width="16.109375" style="3" bestFit="1" customWidth="1"/>
    <col min="13" max="13" width="109.88671875" style="27" customWidth="1"/>
  </cols>
  <sheetData>
    <row r="1" spans="1:13" ht="25.8" x14ac:dyDescent="0.5">
      <c r="B1" s="305" t="s">
        <v>49</v>
      </c>
      <c r="C1" s="305"/>
      <c r="D1" s="305"/>
      <c r="E1" s="305"/>
      <c r="F1" s="305"/>
      <c r="G1" s="305"/>
      <c r="H1" s="305"/>
      <c r="I1" s="305"/>
      <c r="J1" s="305"/>
    </row>
    <row r="2" spans="1:13" x14ac:dyDescent="0.3">
      <c r="A2" s="306" t="str">
        <f>'Andina DT'!A2:J2</f>
        <v>w47</v>
      </c>
      <c r="B2" s="306"/>
      <c r="C2" s="306"/>
      <c r="D2" s="306"/>
      <c r="E2" s="306"/>
      <c r="F2" s="306"/>
      <c r="G2" s="306"/>
      <c r="H2" s="306"/>
      <c r="I2" s="306"/>
      <c r="J2" s="306"/>
    </row>
    <row r="3" spans="1:13" ht="28.8" x14ac:dyDescent="0.3">
      <c r="A3" s="5" t="s">
        <v>34</v>
      </c>
      <c r="B3" s="5" t="s">
        <v>26</v>
      </c>
      <c r="C3" s="40" t="s">
        <v>21</v>
      </c>
      <c r="D3" s="40" t="s">
        <v>22</v>
      </c>
      <c r="E3" s="40" t="s">
        <v>23</v>
      </c>
      <c r="F3" s="40" t="s">
        <v>24</v>
      </c>
      <c r="G3" s="40" t="s">
        <v>25</v>
      </c>
      <c r="H3" s="40" t="s">
        <v>106</v>
      </c>
      <c r="I3" s="5" t="s">
        <v>62</v>
      </c>
      <c r="J3" s="5" t="s">
        <v>65</v>
      </c>
      <c r="K3" s="5" t="s">
        <v>53</v>
      </c>
      <c r="M3" s="130" t="str">
        <f>"Comentarios "&amp;A2</f>
        <v>Comentarios w47</v>
      </c>
    </row>
    <row r="4" spans="1:13" x14ac:dyDescent="0.3">
      <c r="A4" s="6" t="s">
        <v>0</v>
      </c>
      <c r="B4" s="7">
        <v>20129428.437658001</v>
      </c>
      <c r="C4" s="7">
        <v>-40817.151040500903</v>
      </c>
      <c r="D4" s="7">
        <v>23787.748145641101</v>
      </c>
      <c r="E4" s="7">
        <v>620501.44221636397</v>
      </c>
      <c r="F4" s="7">
        <v>-402584.21757558698</v>
      </c>
      <c r="G4" s="7">
        <v>532906.96882730303</v>
      </c>
      <c r="H4" s="7">
        <v>1</v>
      </c>
      <c r="I4" s="7">
        <v>-408441.94877704751</v>
      </c>
      <c r="J4" s="7">
        <f>SUM(B4:I4)</f>
        <v>20454782.279454172</v>
      </c>
      <c r="K4" s="123">
        <f t="shared" ref="K4:K16" si="0">J4/B4-1</f>
        <v>1.6163093890311453E-2</v>
      </c>
      <c r="L4" s="175"/>
      <c r="M4" s="112"/>
    </row>
    <row r="5" spans="1:13" x14ac:dyDescent="0.3">
      <c r="A5" s="6" t="s">
        <v>1</v>
      </c>
      <c r="B5" s="7">
        <v>26311162.376224</v>
      </c>
      <c r="C5" s="7">
        <v>556748.65893658996</v>
      </c>
      <c r="D5" s="7">
        <v>-319195.66493037198</v>
      </c>
      <c r="E5" s="7">
        <v>472169.23987802299</v>
      </c>
      <c r="F5" s="7">
        <v>-415100.19987387798</v>
      </c>
      <c r="G5" s="7">
        <v>-884173.54247573996</v>
      </c>
      <c r="H5" s="7">
        <v>1</v>
      </c>
      <c r="I5" s="7">
        <v>-158090.84665890501</v>
      </c>
      <c r="J5" s="7">
        <f t="shared" ref="J5" si="1">SUM(B5:I5)</f>
        <v>25563521.021099713</v>
      </c>
      <c r="K5" s="124">
        <f t="shared" si="0"/>
        <v>-2.8415367760410759E-2</v>
      </c>
      <c r="L5" s="175"/>
      <c r="M5" s="112"/>
    </row>
    <row r="6" spans="1:13" x14ac:dyDescent="0.3">
      <c r="A6" s="6" t="s">
        <v>2</v>
      </c>
      <c r="B6" s="7">
        <v>32058052.493577</v>
      </c>
      <c r="C6" s="7">
        <v>23168.302107150001</v>
      </c>
      <c r="D6" s="7">
        <v>-376833.98807443702</v>
      </c>
      <c r="E6" s="7">
        <v>-2215500.2615482402</v>
      </c>
      <c r="F6" s="7">
        <v>-221895.51452208299</v>
      </c>
      <c r="G6" s="7">
        <v>1168956.5293010499</v>
      </c>
      <c r="H6" s="7">
        <v>1</v>
      </c>
      <c r="I6" s="7">
        <v>-104441.3867022184</v>
      </c>
      <c r="J6" s="7">
        <f t="shared" ref="J6:J15" si="2">SUM(B6:I6)</f>
        <v>30331507.174138226</v>
      </c>
      <c r="K6" s="124">
        <f t="shared" si="0"/>
        <v>-5.3856837366670907E-2</v>
      </c>
      <c r="L6" s="175"/>
      <c r="M6" s="112"/>
    </row>
    <row r="7" spans="1:13" ht="15" customHeight="1" x14ac:dyDescent="0.3">
      <c r="A7" s="6" t="s">
        <v>3</v>
      </c>
      <c r="B7" s="7">
        <v>21456523.052358001</v>
      </c>
      <c r="C7" s="7">
        <v>11626.199241972001</v>
      </c>
      <c r="D7" s="7">
        <v>-828266.83925241302</v>
      </c>
      <c r="E7" s="7">
        <v>-1375786.2265671752</v>
      </c>
      <c r="F7" s="7">
        <v>-94283.321747965296</v>
      </c>
      <c r="G7" s="7">
        <v>828370.46922388999</v>
      </c>
      <c r="H7" s="7">
        <v>1</v>
      </c>
      <c r="I7" s="7">
        <v>-347878.97797341261</v>
      </c>
      <c r="J7" s="7">
        <f t="shared" si="2"/>
        <v>19650305.355282899</v>
      </c>
      <c r="K7" s="124">
        <f t="shared" si="0"/>
        <v>-8.4180353576746247E-2</v>
      </c>
      <c r="L7" s="175"/>
      <c r="M7" s="317"/>
    </row>
    <row r="8" spans="1:13" ht="15" customHeight="1" x14ac:dyDescent="0.3">
      <c r="A8" s="6" t="s">
        <v>4</v>
      </c>
      <c r="B8" s="7">
        <v>21212145.551192999</v>
      </c>
      <c r="C8" s="7">
        <v>332372.28243098001</v>
      </c>
      <c r="D8" s="7">
        <v>-2247402.9993101899</v>
      </c>
      <c r="E8" s="7">
        <v>-2142709.1868634159</v>
      </c>
      <c r="F8" s="7">
        <v>-301100.49316386</v>
      </c>
      <c r="G8" s="7">
        <v>660295.26168493996</v>
      </c>
      <c r="H8" s="7">
        <v>1</v>
      </c>
      <c r="I8" s="7">
        <v>-111055.05285089939</v>
      </c>
      <c r="J8" s="7">
        <f t="shared" si="2"/>
        <v>17402546.363120552</v>
      </c>
      <c r="K8" s="124">
        <f t="shared" si="0"/>
        <v>-0.17959518422492582</v>
      </c>
      <c r="L8" s="175"/>
      <c r="M8" s="317"/>
    </row>
    <row r="9" spans="1:13" ht="15" customHeight="1" x14ac:dyDescent="0.3">
      <c r="A9" s="6" t="s">
        <v>5</v>
      </c>
      <c r="B9" s="7">
        <v>22870915.674423002</v>
      </c>
      <c r="C9" s="7">
        <v>-1073412.57573382</v>
      </c>
      <c r="D9" s="7">
        <v>-2427078.0525354301</v>
      </c>
      <c r="E9" s="7">
        <v>-2973426.3795348452</v>
      </c>
      <c r="F9" s="7">
        <v>-1193992.0951423701</v>
      </c>
      <c r="G9" s="7">
        <v>720212.57446076197</v>
      </c>
      <c r="H9" s="7">
        <v>1</v>
      </c>
      <c r="I9" s="7">
        <v>-240918.9567248128</v>
      </c>
      <c r="J9" s="7">
        <f t="shared" si="2"/>
        <v>15682301.189212488</v>
      </c>
      <c r="K9" s="124">
        <f t="shared" si="0"/>
        <v>-0.31431249135554651</v>
      </c>
      <c r="L9" s="175"/>
      <c r="M9" s="112"/>
    </row>
    <row r="10" spans="1:13" ht="15" customHeight="1" x14ac:dyDescent="0.3">
      <c r="A10" s="6" t="s">
        <v>6</v>
      </c>
      <c r="B10" s="7">
        <v>17838398.199767001</v>
      </c>
      <c r="C10" s="7">
        <v>937874.86905668199</v>
      </c>
      <c r="D10" s="7">
        <v>-1488429.4641789901</v>
      </c>
      <c r="E10" s="7">
        <v>-540633.69909360004</v>
      </c>
      <c r="F10" s="7">
        <v>-124799.929370553</v>
      </c>
      <c r="G10" s="7">
        <v>68395.089820730995</v>
      </c>
      <c r="H10" s="7">
        <v>1</v>
      </c>
      <c r="I10" s="7">
        <v>-293158.25700200803</v>
      </c>
      <c r="J10" s="7">
        <f t="shared" si="2"/>
        <v>16397647.808999265</v>
      </c>
      <c r="K10" s="124">
        <f t="shared" si="0"/>
        <v>-8.0766802861624409E-2</v>
      </c>
      <c r="L10" s="175"/>
      <c r="M10" s="317"/>
    </row>
    <row r="11" spans="1:13" x14ac:dyDescent="0.3">
      <c r="A11" s="6" t="s">
        <v>7</v>
      </c>
      <c r="B11" s="7">
        <v>18079380.530768</v>
      </c>
      <c r="C11" s="7">
        <v>160340.49435217999</v>
      </c>
      <c r="D11" s="7">
        <v>-617415.40079167602</v>
      </c>
      <c r="E11" s="7">
        <v>-272169.69069529406</v>
      </c>
      <c r="F11" s="7">
        <v>-152330.99904929599</v>
      </c>
      <c r="G11" s="7">
        <v>301642.38077860302</v>
      </c>
      <c r="H11" s="7">
        <v>1</v>
      </c>
      <c r="I11" s="7">
        <v>-96220.821522348808</v>
      </c>
      <c r="J11" s="7">
        <f t="shared" si="2"/>
        <v>17403227.493840173</v>
      </c>
      <c r="K11" s="124">
        <f t="shared" si="0"/>
        <v>-3.7399126357074541E-2</v>
      </c>
      <c r="L11" s="175"/>
      <c r="M11" s="317"/>
    </row>
    <row r="12" spans="1:13" x14ac:dyDescent="0.3">
      <c r="A12" s="6" t="s">
        <v>8</v>
      </c>
      <c r="B12" s="7">
        <v>23764393.965071999</v>
      </c>
      <c r="C12" s="7">
        <v>281159.09814710298</v>
      </c>
      <c r="D12" s="7">
        <v>-816782.85692267399</v>
      </c>
      <c r="E12" s="7">
        <v>-616013.91039235564</v>
      </c>
      <c r="F12" s="7">
        <v>-65941.000900642</v>
      </c>
      <c r="G12" s="7">
        <v>745650.26634952903</v>
      </c>
      <c r="H12" s="7">
        <v>1</v>
      </c>
      <c r="I12" s="7">
        <v>-86193.542685117005</v>
      </c>
      <c r="J12" s="7">
        <f t="shared" si="2"/>
        <v>23206273.018667839</v>
      </c>
      <c r="K12" s="124">
        <f t="shared" si="0"/>
        <v>-2.3485595602583564E-2</v>
      </c>
      <c r="L12" s="175"/>
      <c r="M12" s="119"/>
    </row>
    <row r="13" spans="1:13" x14ac:dyDescent="0.3">
      <c r="A13" s="6" t="s">
        <v>9</v>
      </c>
      <c r="B13" s="7">
        <v>19132759.358853001</v>
      </c>
      <c r="C13" s="7">
        <v>0</v>
      </c>
      <c r="D13" s="7">
        <v>-579564.61635181599</v>
      </c>
      <c r="E13" s="7">
        <v>-901250.14048537437</v>
      </c>
      <c r="F13" s="7">
        <v>-34617.700648548598</v>
      </c>
      <c r="G13" s="7">
        <v>1440983.7750217</v>
      </c>
      <c r="H13" s="7">
        <v>1</v>
      </c>
      <c r="I13" s="7">
        <v>-2225.8407767024601</v>
      </c>
      <c r="J13" s="7">
        <f t="shared" si="2"/>
        <v>19056085.835612252</v>
      </c>
      <c r="K13" s="124">
        <f t="shared" si="0"/>
        <v>-4.007447216716864E-3</v>
      </c>
      <c r="L13" s="175"/>
      <c r="M13" s="96"/>
    </row>
    <row r="14" spans="1:13" x14ac:dyDescent="0.3">
      <c r="A14" s="6" t="s">
        <v>10</v>
      </c>
      <c r="B14" s="7">
        <v>21043841.759656001</v>
      </c>
      <c r="C14" s="7">
        <v>497403.63778191397</v>
      </c>
      <c r="D14" s="7">
        <v>-367479.68326229701</v>
      </c>
      <c r="E14" s="7">
        <v>-429384.51121572481</v>
      </c>
      <c r="F14" s="7">
        <v>-197626.85072189101</v>
      </c>
      <c r="G14" s="7">
        <v>1107933.4552957099</v>
      </c>
      <c r="H14" s="7">
        <v>1</v>
      </c>
      <c r="I14" s="7">
        <v>-74118.099110030511</v>
      </c>
      <c r="J14" s="7">
        <f t="shared" si="2"/>
        <v>21580570.708423682</v>
      </c>
      <c r="K14" s="124">
        <f t="shared" si="0"/>
        <v>2.5505273937036721E-2</v>
      </c>
      <c r="L14" s="175"/>
      <c r="M14" s="96"/>
    </row>
    <row r="15" spans="1:13" x14ac:dyDescent="0.3">
      <c r="A15" s="6" t="s">
        <v>11</v>
      </c>
      <c r="B15" s="7">
        <v>37508577.012097999</v>
      </c>
      <c r="C15" s="7">
        <v>-1051360.59444423</v>
      </c>
      <c r="D15" s="7">
        <v>-605310.98018390697</v>
      </c>
      <c r="E15" s="7">
        <v>-1117304.345169056</v>
      </c>
      <c r="F15" s="7">
        <v>55501.997866997503</v>
      </c>
      <c r="G15" s="7">
        <v>373159.10155219497</v>
      </c>
      <c r="H15" s="7">
        <v>1</v>
      </c>
      <c r="I15" s="7">
        <v>-296632.52037808299</v>
      </c>
      <c r="J15" s="7">
        <f t="shared" si="2"/>
        <v>34866630.671341918</v>
      </c>
      <c r="K15" s="124">
        <f t="shared" si="0"/>
        <v>-7.0435792323018553E-2</v>
      </c>
      <c r="L15" s="175"/>
      <c r="M15" s="96"/>
    </row>
    <row r="16" spans="1:13" x14ac:dyDescent="0.3">
      <c r="A16" s="8" t="s">
        <v>27</v>
      </c>
      <c r="B16" s="9">
        <f t="shared" ref="B16:J16" si="3">SUM(B4:B15)</f>
        <v>281405578.41164702</v>
      </c>
      <c r="C16" s="9">
        <f t="shared" si="3"/>
        <v>635103.22083601984</v>
      </c>
      <c r="D16" s="9">
        <f t="shared" si="3"/>
        <v>-10649972.797648562</v>
      </c>
      <c r="E16" s="9">
        <f t="shared" si="3"/>
        <v>-11491507.669470692</v>
      </c>
      <c r="F16" s="9">
        <f t="shared" si="3"/>
        <v>-3148770.3248496763</v>
      </c>
      <c r="G16" s="9">
        <f t="shared" si="3"/>
        <v>7064332.3298406731</v>
      </c>
      <c r="H16" s="9">
        <f t="shared" si="3"/>
        <v>12</v>
      </c>
      <c r="I16" s="9">
        <f>SUM(I4:I15)</f>
        <v>-2219376.2511615856</v>
      </c>
      <c r="J16" s="9">
        <f t="shared" si="3"/>
        <v>261595398.91919318</v>
      </c>
      <c r="K16" s="145">
        <f t="shared" si="0"/>
        <v>-7.0397252265820498E-2</v>
      </c>
      <c r="L16" s="28"/>
      <c r="M16" s="96"/>
    </row>
    <row r="17" spans="1:13" x14ac:dyDescent="0.3">
      <c r="I17" s="88"/>
    </row>
    <row r="18" spans="1:13" ht="28.8" outlineLevel="1" x14ac:dyDescent="0.3">
      <c r="A18" s="86"/>
      <c r="B18" s="86"/>
      <c r="C18" s="86" t="s">
        <v>21</v>
      </c>
      <c r="D18" s="86" t="s">
        <v>22</v>
      </c>
      <c r="E18" s="86" t="s">
        <v>23</v>
      </c>
      <c r="F18" s="86" t="s">
        <v>24</v>
      </c>
      <c r="G18" s="86" t="s">
        <v>25</v>
      </c>
      <c r="H18" s="86" t="s">
        <v>64</v>
      </c>
      <c r="I18" s="86" t="s">
        <v>62</v>
      </c>
      <c r="J18" s="86" t="s">
        <v>65</v>
      </c>
    </row>
    <row r="19" spans="1:13" outlineLevel="1" x14ac:dyDescent="0.3">
      <c r="A19" s="307" t="str">
        <f>"Dif. FY " &amp; A2 &amp; " vs " &amp; A22</f>
        <v>Dif. FY w47 vs w43</v>
      </c>
      <c r="B19" s="308"/>
      <c r="C19" s="87">
        <f>C16-C36</f>
        <v>-10126.950542424805</v>
      </c>
      <c r="D19" s="87">
        <f t="shared" ref="D19:J19" si="4">D16-D36</f>
        <v>-281717.10678538308</v>
      </c>
      <c r="E19" s="122">
        <f t="shared" si="4"/>
        <v>-545264.30021317489</v>
      </c>
      <c r="F19" s="122">
        <f t="shared" si="4"/>
        <v>1268.8325927425176</v>
      </c>
      <c r="G19" s="122">
        <f t="shared" si="4"/>
        <v>-518980.68188332021</v>
      </c>
      <c r="H19" s="122">
        <f t="shared" ref="H19" si="5">H16-H36</f>
        <v>0</v>
      </c>
      <c r="I19" s="122">
        <f t="shared" si="4"/>
        <v>3885.8934549647383</v>
      </c>
      <c r="J19" s="87">
        <f t="shared" si="4"/>
        <v>-1350934.3133765757</v>
      </c>
      <c r="K19" s="176"/>
      <c r="L19" s="177"/>
    </row>
    <row r="20" spans="1:13" ht="15" customHeight="1" x14ac:dyDescent="0.3">
      <c r="A20" s="142" t="str">
        <f>"Var. FY " &amp; A2 &amp; " vs " &amp; A22</f>
        <v>Var. FY w47 vs w43</v>
      </c>
      <c r="B20" s="143"/>
      <c r="C20" s="121">
        <f>(C16-C36)/ABS(C36)</f>
        <v>-1.5695097643667194E-2</v>
      </c>
      <c r="D20" s="121">
        <f t="shared" ref="D20:J20" si="6">(D16-D36)/ABS(D36)</f>
        <v>-2.7171118767223373E-2</v>
      </c>
      <c r="E20" s="121">
        <f t="shared" si="6"/>
        <v>-4.9812915885329906E-2</v>
      </c>
      <c r="F20" s="121">
        <f t="shared" si="6"/>
        <v>4.0279899052833004E-4</v>
      </c>
      <c r="G20" s="121">
        <f t="shared" si="6"/>
        <v>-6.8437196391730501E-2</v>
      </c>
      <c r="H20" s="121">
        <f t="shared" ref="H20" si="7">(H16-H36)/ABS(H36)</f>
        <v>0</v>
      </c>
      <c r="I20" s="121">
        <f t="shared" si="6"/>
        <v>1.7478341294004018E-3</v>
      </c>
      <c r="J20" s="121">
        <f t="shared" si="6"/>
        <v>-5.1376807456056314E-3</v>
      </c>
    </row>
    <row r="21" spans="1:13" x14ac:dyDescent="0.3">
      <c r="C21" s="89"/>
      <c r="D21" s="89"/>
      <c r="E21" s="89"/>
      <c r="F21" s="89"/>
      <c r="G21" s="89"/>
      <c r="H21" s="89"/>
      <c r="I21" s="89"/>
    </row>
    <row r="22" spans="1:13" x14ac:dyDescent="0.3">
      <c r="A22" s="306" t="str">
        <f>'Andina DT'!A22:J22</f>
        <v>w43</v>
      </c>
      <c r="B22" s="306"/>
      <c r="C22" s="306"/>
      <c r="D22" s="306"/>
      <c r="E22" s="306"/>
      <c r="F22" s="306"/>
      <c r="G22" s="306"/>
      <c r="H22" s="306"/>
      <c r="I22" s="306"/>
      <c r="J22" s="306"/>
      <c r="L22" s="140"/>
    </row>
    <row r="23" spans="1:13" ht="28.8" x14ac:dyDescent="0.3">
      <c r="A23" s="5" t="s">
        <v>34</v>
      </c>
      <c r="B23" s="5" t="s">
        <v>26</v>
      </c>
      <c r="C23" s="40" t="s">
        <v>21</v>
      </c>
      <c r="D23" s="40" t="s">
        <v>22</v>
      </c>
      <c r="E23" s="40" t="s">
        <v>23</v>
      </c>
      <c r="F23" s="40" t="s">
        <v>24</v>
      </c>
      <c r="G23" s="40" t="s">
        <v>25</v>
      </c>
      <c r="H23" s="40" t="s">
        <v>64</v>
      </c>
      <c r="I23" s="5" t="s">
        <v>62</v>
      </c>
      <c r="J23" s="5" t="s">
        <v>65</v>
      </c>
      <c r="K23" s="5" t="s">
        <v>53</v>
      </c>
      <c r="L23" s="96"/>
      <c r="M23" s="129"/>
    </row>
    <row r="24" spans="1:13" x14ac:dyDescent="0.3">
      <c r="A24" s="6" t="s">
        <v>0</v>
      </c>
      <c r="B24" s="7">
        <v>20129428.437658001</v>
      </c>
      <c r="C24" s="7">
        <v>-40815.2613849154</v>
      </c>
      <c r="D24" s="7">
        <v>25135.6828169734</v>
      </c>
      <c r="E24" s="7">
        <v>620455.58067380905</v>
      </c>
      <c r="F24" s="7">
        <v>-402670.56845713401</v>
      </c>
      <c r="G24" s="7">
        <v>532883.82791048801</v>
      </c>
      <c r="H24" s="7">
        <v>1</v>
      </c>
      <c r="I24" s="7">
        <v>-408740.56652356498</v>
      </c>
      <c r="J24" s="7">
        <f>SUM(B24:I24)</f>
        <v>20455678.132693656</v>
      </c>
      <c r="K24" s="123">
        <f t="shared" ref="K24:K36" si="8">J24/B24-1</f>
        <v>1.6207598543896529E-2</v>
      </c>
      <c r="L24" s="98"/>
      <c r="M24" s="120"/>
    </row>
    <row r="25" spans="1:13" x14ac:dyDescent="0.3">
      <c r="A25" s="6" t="s">
        <v>1</v>
      </c>
      <c r="B25" s="7">
        <v>26311162.376224</v>
      </c>
      <c r="C25" s="7">
        <v>556762.90171318001</v>
      </c>
      <c r="D25" s="7">
        <v>-313350.115995612</v>
      </c>
      <c r="E25" s="7">
        <v>472120.95452040702</v>
      </c>
      <c r="F25" s="7">
        <v>-415180.71802121802</v>
      </c>
      <c r="G25" s="7">
        <v>-884121.28245341405</v>
      </c>
      <c r="H25" s="7">
        <v>1</v>
      </c>
      <c r="I25" s="7">
        <v>-159536.65871610076</v>
      </c>
      <c r="J25" s="7">
        <f t="shared" ref="J25:J35" si="9">SUM(B25:I25)</f>
        <v>25567858.457271244</v>
      </c>
      <c r="K25" s="124">
        <f t="shared" si="8"/>
        <v>-2.8250516200091558E-2</v>
      </c>
      <c r="L25" s="98"/>
      <c r="M25" s="130" t="str">
        <f>"Comentarios "&amp;A22</f>
        <v>Comentarios w43</v>
      </c>
    </row>
    <row r="26" spans="1:13" x14ac:dyDescent="0.3">
      <c r="A26" s="6" t="s">
        <v>2</v>
      </c>
      <c r="B26" s="7">
        <v>32058052.493577</v>
      </c>
      <c r="C26" s="7">
        <v>23146.520736049901</v>
      </c>
      <c r="D26" s="7">
        <v>-369977.19100697001</v>
      </c>
      <c r="E26" s="7">
        <v>-2215547.0388515401</v>
      </c>
      <c r="F26" s="7">
        <v>-221962.621596991</v>
      </c>
      <c r="G26" s="7">
        <v>1169031.70613911</v>
      </c>
      <c r="H26" s="7">
        <v>1</v>
      </c>
      <c r="I26" s="7">
        <v>-104482.3684532504</v>
      </c>
      <c r="J26" s="7">
        <f t="shared" si="9"/>
        <v>30338262.500543408</v>
      </c>
      <c r="K26" s="124">
        <f t="shared" si="8"/>
        <v>-5.3646115695211383E-2</v>
      </c>
      <c r="L26" s="98"/>
      <c r="M26" s="120"/>
    </row>
    <row r="27" spans="1:13" x14ac:dyDescent="0.3">
      <c r="A27" s="6" t="s">
        <v>3</v>
      </c>
      <c r="B27" s="7">
        <v>21456523.052358001</v>
      </c>
      <c r="C27" s="7">
        <v>11625.563254897999</v>
      </c>
      <c r="D27" s="7">
        <v>-828436.46578279498</v>
      </c>
      <c r="E27" s="7">
        <v>-1375685.0945227768</v>
      </c>
      <c r="F27" s="7">
        <v>-94280.454165463103</v>
      </c>
      <c r="G27" s="7">
        <v>828283.71461565001</v>
      </c>
      <c r="H27" s="7">
        <v>1</v>
      </c>
      <c r="I27" s="7">
        <v>-347851.6302887795</v>
      </c>
      <c r="J27" s="7">
        <f t="shared" si="9"/>
        <v>19650179.685468733</v>
      </c>
      <c r="K27" s="124">
        <f t="shared" si="8"/>
        <v>-8.4186210528213068E-2</v>
      </c>
      <c r="L27" s="98"/>
      <c r="M27" s="105"/>
    </row>
    <row r="28" spans="1:13" x14ac:dyDescent="0.3">
      <c r="A28" s="6" t="s">
        <v>4</v>
      </c>
      <c r="B28" s="7">
        <v>21212145.551192999</v>
      </c>
      <c r="C28" s="7">
        <v>332271.44322944002</v>
      </c>
      <c r="D28" s="7">
        <v>-2260862.7074391199</v>
      </c>
      <c r="E28" s="7">
        <v>-2141965.3828148274</v>
      </c>
      <c r="F28" s="7">
        <v>-301082.50640860997</v>
      </c>
      <c r="G28" s="7">
        <v>660028.76849373896</v>
      </c>
      <c r="H28" s="7">
        <v>1</v>
      </c>
      <c r="I28" s="7">
        <v>-111046.6724493114</v>
      </c>
      <c r="J28" s="7">
        <f t="shared" si="9"/>
        <v>17389489.493804306</v>
      </c>
      <c r="K28" s="124">
        <f t="shared" si="8"/>
        <v>-0.18021072164355867</v>
      </c>
      <c r="L28" s="98"/>
      <c r="M28" s="105"/>
    </row>
    <row r="29" spans="1:13" x14ac:dyDescent="0.3">
      <c r="A29" s="6" t="s">
        <v>5</v>
      </c>
      <c r="B29" s="7">
        <v>22870915.674423002</v>
      </c>
      <c r="C29" s="7">
        <v>-1073128.89367684</v>
      </c>
      <c r="D29" s="7">
        <v>-2441623.9081707201</v>
      </c>
      <c r="E29" s="7">
        <v>-2972399.3423917978</v>
      </c>
      <c r="F29" s="7">
        <v>-1193919.39405659</v>
      </c>
      <c r="G29" s="7">
        <v>719934.56949993304</v>
      </c>
      <c r="H29" s="7">
        <v>1</v>
      </c>
      <c r="I29" s="7">
        <v>-240869.10654695041</v>
      </c>
      <c r="J29" s="7">
        <f t="shared" si="9"/>
        <v>15668910.599080037</v>
      </c>
      <c r="K29" s="124">
        <f t="shared" si="8"/>
        <v>-0.31489797688323906</v>
      </c>
      <c r="L29" s="98"/>
      <c r="M29" s="105"/>
    </row>
    <row r="30" spans="1:13" x14ac:dyDescent="0.3">
      <c r="A30" s="6" t="s">
        <v>6</v>
      </c>
      <c r="B30" s="7">
        <v>17838398.199767001</v>
      </c>
      <c r="C30" s="7">
        <v>937627.41889526404</v>
      </c>
      <c r="D30" s="7">
        <v>-1460431.6710308101</v>
      </c>
      <c r="E30" s="7">
        <v>-540969.31130088784</v>
      </c>
      <c r="F30" s="7">
        <v>-124927.978828705</v>
      </c>
      <c r="G30" s="7">
        <v>69844.105689426593</v>
      </c>
      <c r="H30" s="7">
        <v>1</v>
      </c>
      <c r="I30" s="7">
        <v>-293859.09988273284</v>
      </c>
      <c r="J30" s="7">
        <f t="shared" si="9"/>
        <v>16425682.663308555</v>
      </c>
      <c r="K30" s="124">
        <f t="shared" si="8"/>
        <v>-7.9195201308876362E-2</v>
      </c>
      <c r="L30" s="98"/>
      <c r="M30" s="105"/>
    </row>
    <row r="31" spans="1:13" x14ac:dyDescent="0.3">
      <c r="A31" s="6" t="s">
        <v>7</v>
      </c>
      <c r="B31" s="7">
        <v>18079380.530768</v>
      </c>
      <c r="C31" s="7">
        <v>160856.71415325999</v>
      </c>
      <c r="D31" s="7">
        <v>-489797.06589244498</v>
      </c>
      <c r="E31" s="7">
        <v>-272977.09369714512</v>
      </c>
      <c r="F31" s="7">
        <v>-152817.05027761101</v>
      </c>
      <c r="G31" s="7">
        <v>302731.46432421001</v>
      </c>
      <c r="H31" s="7">
        <v>1</v>
      </c>
      <c r="I31" s="7">
        <v>-96548.632734485611</v>
      </c>
      <c r="J31" s="7">
        <f t="shared" si="9"/>
        <v>17530829.866643783</v>
      </c>
      <c r="K31" s="124">
        <f t="shared" si="8"/>
        <v>-3.0341231171647554E-2</v>
      </c>
      <c r="L31" s="98"/>
      <c r="M31" s="105"/>
    </row>
    <row r="32" spans="1:13" x14ac:dyDescent="0.3">
      <c r="A32" s="6" t="s">
        <v>8</v>
      </c>
      <c r="B32" s="7">
        <v>23764393.965071999</v>
      </c>
      <c r="C32" s="7">
        <v>284973.99836874602</v>
      </c>
      <c r="D32" s="7">
        <v>-659864.525699044</v>
      </c>
      <c r="E32" s="7">
        <v>-415575.31347729941</v>
      </c>
      <c r="F32" s="7">
        <v>-66860.706439638205</v>
      </c>
      <c r="G32" s="7">
        <v>756644.24783528701</v>
      </c>
      <c r="H32" s="7">
        <v>1</v>
      </c>
      <c r="I32" s="7">
        <v>-87373.725520804117</v>
      </c>
      <c r="J32" s="7">
        <f t="shared" si="9"/>
        <v>23576338.940139245</v>
      </c>
      <c r="K32" s="124">
        <f t="shared" si="8"/>
        <v>-7.91331035873033E-3</v>
      </c>
      <c r="L32" s="98"/>
      <c r="M32" s="105"/>
    </row>
    <row r="33" spans="1:13" x14ac:dyDescent="0.3">
      <c r="A33" s="6" t="s">
        <v>9</v>
      </c>
      <c r="B33" s="7">
        <v>19132759.358853001</v>
      </c>
      <c r="C33" s="7">
        <v>0</v>
      </c>
      <c r="D33" s="7">
        <v>-493429.04768764798</v>
      </c>
      <c r="E33" s="7">
        <v>-774856.94377277407</v>
      </c>
      <c r="F33" s="7">
        <v>-34876.6986881087</v>
      </c>
      <c r="G33" s="7">
        <v>1944803.8184229201</v>
      </c>
      <c r="H33" s="7">
        <v>1</v>
      </c>
      <c r="I33" s="7">
        <v>-2296.4538257138502</v>
      </c>
      <c r="J33" s="7">
        <f t="shared" si="9"/>
        <v>19772105.033301678</v>
      </c>
      <c r="K33" s="124">
        <f t="shared" si="8"/>
        <v>3.3416281596247766E-2</v>
      </c>
      <c r="L33" s="98"/>
      <c r="M33" s="105"/>
    </row>
    <row r="34" spans="1:13" x14ac:dyDescent="0.3">
      <c r="A34" s="6" t="s">
        <v>10</v>
      </c>
      <c r="B34" s="7">
        <v>21043841.759656001</v>
      </c>
      <c r="C34" s="7">
        <v>507174.65999842202</v>
      </c>
      <c r="D34" s="7">
        <v>-405013.83077508799</v>
      </c>
      <c r="E34" s="7">
        <v>-351045.12604396476</v>
      </c>
      <c r="F34" s="7">
        <v>-197477.62813037101</v>
      </c>
      <c r="G34" s="7">
        <v>1018543.31076353</v>
      </c>
      <c r="H34" s="7">
        <v>1</v>
      </c>
      <c r="I34" s="7">
        <v>-73924.330706078312</v>
      </c>
      <c r="J34" s="7">
        <f t="shared" si="9"/>
        <v>21542099.814762447</v>
      </c>
      <c r="K34" s="124">
        <f t="shared" si="8"/>
        <v>2.3677143213539864E-2</v>
      </c>
      <c r="L34" s="98"/>
      <c r="M34" s="105"/>
    </row>
    <row r="35" spans="1:13" x14ac:dyDescent="0.3">
      <c r="A35" s="6" t="s">
        <v>11</v>
      </c>
      <c r="B35" s="7">
        <v>37508577.012097999</v>
      </c>
      <c r="C35" s="7">
        <v>-1055264.8939090599</v>
      </c>
      <c r="D35" s="7">
        <v>-670604.84419990098</v>
      </c>
      <c r="E35" s="7">
        <v>-977799.25757871999</v>
      </c>
      <c r="F35" s="7">
        <v>56017.167628020899</v>
      </c>
      <c r="G35" s="7">
        <v>464704.76048311399</v>
      </c>
      <c r="H35" s="7">
        <v>1</v>
      </c>
      <c r="I35" s="7">
        <v>-296732.89896877803</v>
      </c>
      <c r="J35" s="7">
        <f t="shared" si="9"/>
        <v>35028898.045552671</v>
      </c>
      <c r="K35" s="124">
        <f t="shared" si="8"/>
        <v>-6.6109651820316584E-2</v>
      </c>
      <c r="L35" s="98"/>
      <c r="M35" s="105"/>
    </row>
    <row r="36" spans="1:13" x14ac:dyDescent="0.3">
      <c r="A36" s="8" t="s">
        <v>27</v>
      </c>
      <c r="B36" s="9">
        <f>SUM(B24:B35)</f>
        <v>281405578.41164702</v>
      </c>
      <c r="C36" s="9">
        <f t="shared" ref="C36:J36" si="10">SUM(C24:C35)</f>
        <v>645230.17137844465</v>
      </c>
      <c r="D36" s="9">
        <f t="shared" si="10"/>
        <v>-10368255.690863179</v>
      </c>
      <c r="E36" s="9">
        <f t="shared" si="10"/>
        <v>-10946243.369257517</v>
      </c>
      <c r="F36" s="9">
        <f t="shared" si="10"/>
        <v>-3150039.1574424189</v>
      </c>
      <c r="G36" s="9">
        <f t="shared" si="10"/>
        <v>7583313.0117239933</v>
      </c>
      <c r="H36" s="9">
        <f t="shared" ref="H36" si="11">SUM(H24:H35)</f>
        <v>12</v>
      </c>
      <c r="I36" s="9">
        <f>SUM(I24:I35)</f>
        <v>-2223262.1446165503</v>
      </c>
      <c r="J36" s="9">
        <f t="shared" si="10"/>
        <v>262946333.23256975</v>
      </c>
      <c r="K36" s="145">
        <f t="shared" si="8"/>
        <v>-6.5596585836243171E-2</v>
      </c>
      <c r="L36" s="174"/>
      <c r="M36" s="105"/>
    </row>
    <row r="37" spans="1:13" x14ac:dyDescent="0.3">
      <c r="A37" s="182"/>
      <c r="B37" s="182"/>
      <c r="C37" s="182"/>
      <c r="D37" s="182"/>
      <c r="E37" s="182"/>
      <c r="F37" s="182"/>
      <c r="G37" s="182"/>
      <c r="H37" s="182"/>
      <c r="I37" s="98"/>
      <c r="J37" s="105"/>
    </row>
    <row r="38" spans="1:13" x14ac:dyDescent="0.3">
      <c r="A38" s="182"/>
      <c r="B38" s="182"/>
      <c r="C38" s="182"/>
      <c r="D38" s="182"/>
      <c r="E38" s="182"/>
      <c r="F38" s="182"/>
      <c r="G38" s="182"/>
      <c r="H38" s="182"/>
      <c r="I38" s="98"/>
      <c r="J38" s="105"/>
    </row>
    <row r="39" spans="1:13" x14ac:dyDescent="0.3">
      <c r="A39" s="182"/>
      <c r="B39" s="182"/>
      <c r="C39" s="182"/>
      <c r="D39" s="182"/>
      <c r="E39" s="182"/>
      <c r="F39" s="182"/>
      <c r="G39" s="182"/>
      <c r="H39" s="182"/>
      <c r="I39" s="98"/>
      <c r="J39" s="105"/>
    </row>
    <row r="40" spans="1:13" x14ac:dyDescent="0.3">
      <c r="A40" s="182"/>
      <c r="B40" s="182"/>
      <c r="C40" s="182"/>
      <c r="D40" s="182"/>
      <c r="E40" s="182"/>
      <c r="F40" s="182"/>
      <c r="G40" s="182"/>
      <c r="H40" s="182"/>
      <c r="I40" s="98"/>
      <c r="J40" s="105"/>
    </row>
    <row r="41" spans="1:13" x14ac:dyDescent="0.3">
      <c r="A41" s="182"/>
      <c r="B41" s="182"/>
      <c r="C41" s="182"/>
      <c r="D41" s="182"/>
      <c r="E41" s="182"/>
      <c r="F41" s="182"/>
      <c r="G41" s="182"/>
      <c r="H41" s="182"/>
      <c r="I41" s="98"/>
      <c r="J41" s="105"/>
    </row>
    <row r="42" spans="1:13" x14ac:dyDescent="0.3">
      <c r="A42" s="182"/>
      <c r="B42" s="182"/>
      <c r="C42" s="182"/>
      <c r="D42" s="182"/>
      <c r="E42" s="182"/>
      <c r="F42" s="182"/>
      <c r="G42" s="182"/>
      <c r="H42" s="182"/>
      <c r="I42" s="98"/>
      <c r="J42" s="105"/>
    </row>
    <row r="43" spans="1:13" x14ac:dyDescent="0.3">
      <c r="A43" s="182"/>
      <c r="B43" s="182"/>
      <c r="C43" s="182"/>
      <c r="D43" s="182"/>
      <c r="E43" s="182"/>
      <c r="F43" s="182"/>
      <c r="G43" s="182"/>
      <c r="H43" s="182"/>
      <c r="I43" s="98"/>
      <c r="J43" s="105"/>
    </row>
    <row r="44" spans="1:13" x14ac:dyDescent="0.3">
      <c r="A44" s="182"/>
      <c r="B44" s="182"/>
      <c r="C44" s="182"/>
      <c r="D44" s="182"/>
      <c r="E44" s="182"/>
      <c r="F44" s="182"/>
      <c r="G44" s="182"/>
      <c r="H44" s="182"/>
      <c r="I44" s="98"/>
      <c r="J44" s="105"/>
    </row>
    <row r="45" spans="1:13" x14ac:dyDescent="0.3">
      <c r="I45" s="98"/>
      <c r="J45" s="105"/>
    </row>
    <row r="1048555" spans="12:12" x14ac:dyDescent="0.3">
      <c r="L1048555" s="96"/>
    </row>
  </sheetData>
  <mergeCells count="6">
    <mergeCell ref="M10:M11"/>
    <mergeCell ref="B1:J1"/>
    <mergeCell ref="A2:J2"/>
    <mergeCell ref="A22:J22"/>
    <mergeCell ref="A19:B19"/>
    <mergeCell ref="M7:M8"/>
  </mergeCells>
  <hyperlinks>
    <hyperlink ref="C23" location="'Peru Support'!B25" display="Calendar" xr:uid="{00000000-0004-0000-0E00-000000000000}"/>
    <hyperlink ref="D23" location="'Peru Support'!N25" display="Economy" xr:uid="{00000000-0004-0000-0E00-000001000000}"/>
    <hyperlink ref="E23" location="'Peru Support'!V25" display="Affordability" xr:uid="{00000000-0004-0000-0E00-000002000000}"/>
    <hyperlink ref="F23" location="'Peru Support'!Z25" display="Competitiveness" xr:uid="{00000000-0004-0000-0E00-000003000000}"/>
    <hyperlink ref="G23" location="'Peru Support'!AD25" display="Weather" xr:uid="{00000000-0004-0000-0E00-000004000000}"/>
    <hyperlink ref="C3" location="'Peru Support'!B8" display="Calendar" xr:uid="{00000000-0004-0000-0E00-000005000000}"/>
    <hyperlink ref="D3" location="'Peru Support'!N8" display="Economy" xr:uid="{00000000-0004-0000-0E00-000006000000}"/>
    <hyperlink ref="E3" location="'Peru Support'!V8" display="Affordability" xr:uid="{00000000-0004-0000-0E00-000007000000}"/>
    <hyperlink ref="F3" location="'Peru Support'!Z8" display="Competitiveness" xr:uid="{00000000-0004-0000-0E00-000008000000}"/>
    <hyperlink ref="G3" location="'Peru Support'!AD8" display="Weather" xr:uid="{00000000-0004-0000-0E00-000009000000}"/>
    <hyperlink ref="H3" location="'Peru Support'!AH8" display="Unhealthy" xr:uid="{00000000-0004-0000-0E00-00000A000000}"/>
    <hyperlink ref="H23" location="'Peru Support'!AH25" display="Unhealthy" xr:uid="{00000000-0004-0000-0E00-00000B000000}"/>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AK39"/>
  <sheetViews>
    <sheetView showGridLines="0" zoomScale="68" zoomScaleNormal="68" workbookViewId="0">
      <pane xSplit="1" ySplit="5" topLeftCell="Q6" activePane="bottomRight" state="frozen"/>
      <selection pane="topRight"/>
      <selection pane="bottomLeft"/>
      <selection pane="bottomRight" activeCell="AH24" sqref="AH24:AK24"/>
    </sheetView>
  </sheetViews>
  <sheetFormatPr baseColWidth="10" defaultColWidth="11.5546875" defaultRowHeight="14.4" x14ac:dyDescent="0.3"/>
  <cols>
    <col min="1" max="1" width="31.109375" bestFit="1" customWidth="1"/>
    <col min="2" max="3" width="11.88671875" style="250" customWidth="1"/>
    <col min="4" max="5" width="11.5546875" style="250"/>
    <col min="34" max="37" width="11.5546875" style="250"/>
  </cols>
  <sheetData>
    <row r="1" spans="1:37" ht="34.5" customHeight="1" x14ac:dyDescent="0.3">
      <c r="B1" s="315" t="s">
        <v>69</v>
      </c>
      <c r="C1" s="315"/>
      <c r="D1" s="315"/>
      <c r="E1" s="315"/>
      <c r="F1" s="315" t="s">
        <v>80</v>
      </c>
      <c r="G1" s="315"/>
      <c r="H1" s="315"/>
      <c r="I1" s="315"/>
      <c r="J1" s="316" t="s">
        <v>57</v>
      </c>
      <c r="K1" s="316"/>
      <c r="L1" s="316"/>
      <c r="M1" s="316"/>
      <c r="N1" s="323" t="s">
        <v>94</v>
      </c>
      <c r="O1" s="323"/>
      <c r="P1" s="323"/>
      <c r="Q1" s="323"/>
      <c r="R1" s="316" t="s">
        <v>38</v>
      </c>
      <c r="S1" s="316"/>
      <c r="T1" s="316"/>
      <c r="U1" s="316"/>
      <c r="V1" s="315" t="s">
        <v>92</v>
      </c>
      <c r="W1" s="315"/>
      <c r="X1" s="315"/>
      <c r="Y1" s="315"/>
      <c r="Z1" s="315" t="s">
        <v>108</v>
      </c>
      <c r="AA1" s="315"/>
      <c r="AB1" s="315"/>
      <c r="AC1" s="315"/>
      <c r="AD1" s="315" t="s">
        <v>31</v>
      </c>
      <c r="AE1" s="315"/>
      <c r="AF1" s="315"/>
      <c r="AG1" s="315"/>
      <c r="AH1" s="315" t="s">
        <v>96</v>
      </c>
      <c r="AI1" s="315"/>
      <c r="AJ1" s="315"/>
      <c r="AK1" s="315"/>
    </row>
    <row r="2" spans="1:37" x14ac:dyDescent="0.3">
      <c r="A2" s="38" t="s">
        <v>29</v>
      </c>
      <c r="B2" s="315"/>
      <c r="C2" s="315"/>
      <c r="D2" s="315"/>
      <c r="E2" s="315"/>
      <c r="F2" s="315"/>
      <c r="G2" s="315"/>
      <c r="H2" s="315"/>
      <c r="I2" s="315"/>
      <c r="J2" s="316"/>
      <c r="K2" s="316"/>
      <c r="L2" s="316"/>
      <c r="M2" s="316"/>
      <c r="N2" s="323"/>
      <c r="O2" s="323"/>
      <c r="P2" s="323"/>
      <c r="Q2" s="323"/>
      <c r="R2" s="316"/>
      <c r="S2" s="316"/>
      <c r="T2" s="316"/>
      <c r="U2" s="316"/>
      <c r="V2" s="315"/>
      <c r="W2" s="315"/>
      <c r="X2" s="315"/>
      <c r="Y2" s="315"/>
      <c r="Z2" s="315"/>
      <c r="AA2" s="315"/>
      <c r="AB2" s="315"/>
      <c r="AC2" s="315"/>
      <c r="AD2" s="315"/>
      <c r="AE2" s="315"/>
      <c r="AF2" s="315"/>
      <c r="AG2" s="315"/>
      <c r="AH2" s="315"/>
      <c r="AI2" s="315"/>
      <c r="AJ2" s="315"/>
      <c r="AK2" s="315"/>
    </row>
    <row r="3" spans="1:37" x14ac:dyDescent="0.3">
      <c r="A3" s="32" t="s">
        <v>30</v>
      </c>
      <c r="B3" s="315"/>
      <c r="C3" s="315"/>
      <c r="D3" s="315"/>
      <c r="E3" s="315"/>
      <c r="F3" s="315"/>
      <c r="G3" s="315"/>
      <c r="H3" s="315"/>
      <c r="I3" s="315"/>
      <c r="J3" s="316"/>
      <c r="K3" s="316"/>
      <c r="L3" s="316"/>
      <c r="M3" s="316"/>
      <c r="N3" s="323"/>
      <c r="O3" s="323"/>
      <c r="P3" s="323"/>
      <c r="Q3" s="323"/>
      <c r="R3" s="316"/>
      <c r="S3" s="316"/>
      <c r="T3" s="316"/>
      <c r="U3" s="316"/>
      <c r="V3" s="315"/>
      <c r="W3" s="315"/>
      <c r="X3" s="315"/>
      <c r="Y3" s="315"/>
      <c r="Z3" s="315"/>
      <c r="AA3" s="315"/>
      <c r="AB3" s="315"/>
      <c r="AC3" s="315"/>
      <c r="AD3" s="315"/>
      <c r="AE3" s="315"/>
      <c r="AF3" s="315"/>
      <c r="AG3" s="315"/>
      <c r="AH3" s="315"/>
      <c r="AI3" s="315"/>
      <c r="AJ3" s="315"/>
      <c r="AK3" s="315"/>
    </row>
    <row r="4" spans="1:37" ht="14.25" customHeight="1" x14ac:dyDescent="0.3">
      <c r="A4" s="85" t="s">
        <v>42</v>
      </c>
      <c r="B4" s="315"/>
      <c r="C4" s="315"/>
      <c r="D4" s="315"/>
      <c r="E4" s="315"/>
      <c r="F4" s="315"/>
      <c r="G4" s="315"/>
      <c r="H4" s="315"/>
      <c r="I4" s="315"/>
      <c r="J4" s="316"/>
      <c r="K4" s="316"/>
      <c r="L4" s="316"/>
      <c r="M4" s="316"/>
      <c r="N4" s="323"/>
      <c r="O4" s="323"/>
      <c r="P4" s="323"/>
      <c r="Q4" s="323"/>
      <c r="R4" s="316"/>
      <c r="S4" s="316"/>
      <c r="T4" s="316"/>
      <c r="U4" s="316"/>
      <c r="V4" s="315"/>
      <c r="W4" s="315"/>
      <c r="X4" s="315"/>
      <c r="Y4" s="315"/>
      <c r="Z4" s="315"/>
      <c r="AA4" s="315"/>
      <c r="AB4" s="315"/>
      <c r="AC4" s="315"/>
      <c r="AD4" s="315"/>
      <c r="AE4" s="315"/>
      <c r="AF4" s="315"/>
      <c r="AG4" s="315"/>
      <c r="AH4" s="315"/>
      <c r="AI4" s="315"/>
      <c r="AJ4" s="315"/>
      <c r="AK4" s="315"/>
    </row>
    <row r="5" spans="1:37" s="3" customFormat="1" ht="14.25" customHeight="1" x14ac:dyDescent="0.3">
      <c r="A5" s="82" t="s">
        <v>56</v>
      </c>
      <c r="B5" s="315"/>
      <c r="C5" s="315"/>
      <c r="D5" s="315"/>
      <c r="E5" s="315"/>
      <c r="F5" s="315"/>
      <c r="G5" s="315"/>
      <c r="H5" s="315"/>
      <c r="I5" s="315"/>
      <c r="J5" s="316"/>
      <c r="K5" s="316"/>
      <c r="L5" s="316"/>
      <c r="M5" s="316"/>
      <c r="N5" s="323"/>
      <c r="O5" s="323"/>
      <c r="P5" s="323"/>
      <c r="Q5" s="323"/>
      <c r="R5" s="316"/>
      <c r="S5" s="316"/>
      <c r="T5" s="316"/>
      <c r="U5" s="316"/>
      <c r="V5" s="315"/>
      <c r="W5" s="315"/>
      <c r="X5" s="315"/>
      <c r="Y5" s="315"/>
      <c r="Z5" s="315"/>
      <c r="AA5" s="315"/>
      <c r="AB5" s="315"/>
      <c r="AC5" s="315"/>
      <c r="AD5" s="315"/>
      <c r="AE5" s="315"/>
      <c r="AF5" s="315"/>
      <c r="AG5" s="315"/>
      <c r="AH5" s="315"/>
      <c r="AI5" s="315"/>
      <c r="AJ5" s="315"/>
      <c r="AK5" s="315"/>
    </row>
    <row r="6" spans="1:37" ht="15" thickBot="1" x14ac:dyDescent="0.35">
      <c r="A6" s="36" t="str">
        <f>"Perú - "&amp;'Peru DT'!A2:J2</f>
        <v>Perú - w47</v>
      </c>
      <c r="B6" s="33"/>
      <c r="C6" s="33"/>
      <c r="D6" s="33"/>
      <c r="E6" s="33"/>
      <c r="F6" s="37"/>
      <c r="G6" s="37"/>
      <c r="J6" s="37"/>
      <c r="K6" s="37"/>
      <c r="N6" s="22"/>
      <c r="O6" s="22"/>
    </row>
    <row r="7" spans="1:37" ht="15" thickBot="1" x14ac:dyDescent="0.35">
      <c r="A7" s="21"/>
      <c r="B7" s="313"/>
      <c r="C7" s="313"/>
      <c r="D7" s="313"/>
      <c r="E7" s="313"/>
      <c r="F7" s="313"/>
      <c r="G7" s="313"/>
      <c r="H7" s="313"/>
      <c r="I7" s="313"/>
      <c r="J7" s="313"/>
      <c r="K7" s="313"/>
      <c r="L7" s="313"/>
      <c r="M7" s="314"/>
      <c r="N7" s="312" t="s">
        <v>22</v>
      </c>
      <c r="O7" s="313"/>
      <c r="P7" s="313"/>
      <c r="Q7" s="314"/>
      <c r="R7" s="312" t="s">
        <v>41</v>
      </c>
      <c r="S7" s="313"/>
      <c r="T7" s="313"/>
      <c r="U7" s="314"/>
      <c r="V7" s="312" t="s">
        <v>23</v>
      </c>
      <c r="W7" s="313"/>
      <c r="X7" s="313"/>
      <c r="Y7" s="314"/>
      <c r="Z7" s="312" t="s">
        <v>24</v>
      </c>
      <c r="AA7" s="313"/>
      <c r="AB7" s="313"/>
      <c r="AC7" s="314"/>
      <c r="AD7" s="312" t="s">
        <v>25</v>
      </c>
      <c r="AE7" s="313"/>
      <c r="AF7" s="313"/>
      <c r="AG7" s="314"/>
      <c r="AH7" s="312" t="s">
        <v>106</v>
      </c>
      <c r="AI7" s="313"/>
      <c r="AJ7" s="313"/>
      <c r="AK7" s="314"/>
    </row>
    <row r="8" spans="1:37" ht="15" thickBot="1" x14ac:dyDescent="0.35">
      <c r="A8" s="2"/>
      <c r="B8" s="312" t="s">
        <v>68</v>
      </c>
      <c r="C8" s="313"/>
      <c r="D8" s="313"/>
      <c r="E8" s="314"/>
      <c r="F8" s="312" t="s">
        <v>81</v>
      </c>
      <c r="G8" s="313"/>
      <c r="H8" s="313"/>
      <c r="I8" s="314"/>
      <c r="J8" s="312" t="s">
        <v>57</v>
      </c>
      <c r="K8" s="313"/>
      <c r="L8" s="313"/>
      <c r="M8" s="314"/>
      <c r="N8" s="312" t="s">
        <v>93</v>
      </c>
      <c r="O8" s="313"/>
      <c r="P8" s="313"/>
      <c r="Q8" s="314"/>
      <c r="R8" s="312" t="s">
        <v>35</v>
      </c>
      <c r="S8" s="313"/>
      <c r="T8" s="313"/>
      <c r="U8" s="314"/>
      <c r="V8" s="312" t="s">
        <v>84</v>
      </c>
      <c r="W8" s="313"/>
      <c r="X8" s="313"/>
      <c r="Y8" s="314"/>
      <c r="Z8" s="312" t="s">
        <v>107</v>
      </c>
      <c r="AA8" s="313"/>
      <c r="AB8" s="313"/>
      <c r="AC8" s="314"/>
      <c r="AD8" s="312" t="s">
        <v>16</v>
      </c>
      <c r="AE8" s="313"/>
      <c r="AF8" s="313"/>
      <c r="AG8" s="314"/>
      <c r="AH8" s="312" t="s">
        <v>95</v>
      </c>
      <c r="AI8" s="313"/>
      <c r="AJ8" s="313"/>
      <c r="AK8" s="314"/>
    </row>
    <row r="9" spans="1:37" x14ac:dyDescent="0.3">
      <c r="A9" s="1"/>
      <c r="B9" s="12">
        <v>2020</v>
      </c>
      <c r="C9" s="13">
        <v>2021</v>
      </c>
      <c r="D9" s="13" t="s">
        <v>12</v>
      </c>
      <c r="E9" s="14" t="s">
        <v>13</v>
      </c>
      <c r="F9" s="12">
        <v>2020</v>
      </c>
      <c r="G9" s="13">
        <v>2021</v>
      </c>
      <c r="H9" s="13" t="s">
        <v>12</v>
      </c>
      <c r="I9" s="14" t="s">
        <v>13</v>
      </c>
      <c r="J9" s="44">
        <v>2020</v>
      </c>
      <c r="K9" s="45">
        <v>2021</v>
      </c>
      <c r="L9" s="45" t="s">
        <v>12</v>
      </c>
      <c r="M9" s="46" t="s">
        <v>13</v>
      </c>
      <c r="N9" s="12">
        <v>2020</v>
      </c>
      <c r="O9" s="13">
        <v>2021</v>
      </c>
      <c r="P9" s="13" t="s">
        <v>12</v>
      </c>
      <c r="Q9" s="14" t="s">
        <v>13</v>
      </c>
      <c r="R9" s="44">
        <v>2020</v>
      </c>
      <c r="S9" s="45">
        <v>2021</v>
      </c>
      <c r="T9" s="45" t="s">
        <v>12</v>
      </c>
      <c r="U9" s="46" t="s">
        <v>13</v>
      </c>
      <c r="V9" s="12">
        <v>2020</v>
      </c>
      <c r="W9" s="13">
        <v>2021</v>
      </c>
      <c r="X9" s="13" t="s">
        <v>12</v>
      </c>
      <c r="Y9" s="14" t="s">
        <v>13</v>
      </c>
      <c r="Z9" s="12">
        <v>2020</v>
      </c>
      <c r="AA9" s="13">
        <v>2021</v>
      </c>
      <c r="AB9" s="13" t="s">
        <v>12</v>
      </c>
      <c r="AC9" s="14" t="s">
        <v>13</v>
      </c>
      <c r="AD9" s="12">
        <v>2020</v>
      </c>
      <c r="AE9" s="13">
        <v>2021</v>
      </c>
      <c r="AF9" s="13" t="s">
        <v>12</v>
      </c>
      <c r="AG9" s="14" t="s">
        <v>13</v>
      </c>
      <c r="AH9" s="12">
        <v>2020</v>
      </c>
      <c r="AI9" s="13">
        <v>2021</v>
      </c>
      <c r="AJ9" s="13" t="s">
        <v>12</v>
      </c>
      <c r="AK9" s="14" t="s">
        <v>13</v>
      </c>
    </row>
    <row r="10" spans="1:37" x14ac:dyDescent="0.3">
      <c r="A10" s="1" t="s">
        <v>0</v>
      </c>
      <c r="B10" s="23">
        <v>25</v>
      </c>
      <c r="C10" s="24">
        <v>24</v>
      </c>
      <c r="D10" s="24">
        <f>C10-B10</f>
        <v>-1</v>
      </c>
      <c r="E10" s="17">
        <f>(C10-B10)/B10</f>
        <v>-0.04</v>
      </c>
      <c r="F10" s="15">
        <v>0.83035714285714302</v>
      </c>
      <c r="G10" s="16">
        <v>0.80952380952380998</v>
      </c>
      <c r="H10" s="16">
        <f>G10-F10</f>
        <v>-2.0833333333333037E-2</v>
      </c>
      <c r="I10" s="17">
        <f>(G10-F10)/F10</f>
        <v>-2.5089605734766665E-2</v>
      </c>
      <c r="J10" s="76">
        <v>21</v>
      </c>
      <c r="K10" s="77">
        <v>20</v>
      </c>
      <c r="L10" s="77">
        <f>K10-J10</f>
        <v>-1</v>
      </c>
      <c r="M10" s="50">
        <f>IFERROR((K10-J10)/ABS(J10),0)</f>
        <v>-4.7619047619047616E-2</v>
      </c>
      <c r="N10" s="61">
        <v>137710.982796186</v>
      </c>
      <c r="O10" s="62">
        <v>138531.72809491801</v>
      </c>
      <c r="P10" s="62">
        <f>O10-N10</f>
        <v>820.74529873201391</v>
      </c>
      <c r="Q10" s="17">
        <f>(O10-N10)/N10</f>
        <v>5.9599117083255979E-3</v>
      </c>
      <c r="R10" s="71">
        <v>6.5332289898556439E-4</v>
      </c>
      <c r="S10" s="72">
        <v>5.3808066732230486E-4</v>
      </c>
      <c r="T10" s="73">
        <f>S10-R10</f>
        <v>-1.1524223166325953E-4</v>
      </c>
      <c r="U10" s="50">
        <f>(S10-R10)/ABS(R10)</f>
        <v>-0.17639398809103413</v>
      </c>
      <c r="V10" s="15">
        <v>17107.330093820401</v>
      </c>
      <c r="W10" s="16">
        <v>17342.609810216502</v>
      </c>
      <c r="X10" s="16">
        <f>W10-V10</f>
        <v>235.27971639610041</v>
      </c>
      <c r="Y10" s="17">
        <f>(W10-V10)/V10</f>
        <v>1.3753152309903073E-2</v>
      </c>
      <c r="Z10" s="15">
        <v>1.31429698557964</v>
      </c>
      <c r="AA10" s="16">
        <v>1.3799336566171601</v>
      </c>
      <c r="AB10" s="16">
        <f>AA10-Z10</f>
        <v>6.5636671037520022E-2</v>
      </c>
      <c r="AC10" s="17">
        <f>(AA10-Z10)/Z10</f>
        <v>4.9940517065534089E-2</v>
      </c>
      <c r="AD10" s="15">
        <v>24.640178571250001</v>
      </c>
      <c r="AE10" s="16">
        <v>24.928571428249999</v>
      </c>
      <c r="AF10" s="16">
        <f>AE10-AD10</f>
        <v>0.28839285699999806</v>
      </c>
      <c r="AG10" s="17">
        <f>(AE10-AD10)/AD10</f>
        <v>1.1704170737483735E-2</v>
      </c>
      <c r="AH10" s="15">
        <v>24.640178571250001</v>
      </c>
      <c r="AI10" s="16">
        <v>24.928571428249999</v>
      </c>
      <c r="AJ10" s="16">
        <f>AI10-AH10</f>
        <v>0.28839285699999806</v>
      </c>
      <c r="AK10" s="17">
        <f>(AI10-AH10)/AH10</f>
        <v>1.1704170737483735E-2</v>
      </c>
    </row>
    <row r="11" spans="1:37" x14ac:dyDescent="0.3">
      <c r="A11" s="1" t="s">
        <v>1</v>
      </c>
      <c r="B11" s="23">
        <v>28</v>
      </c>
      <c r="C11" s="24">
        <v>28</v>
      </c>
      <c r="D11" s="24">
        <f t="shared" ref="D11:D22" si="0">C11-B11</f>
        <v>0</v>
      </c>
      <c r="E11" s="17">
        <f t="shared" ref="E11:E22" si="1">(C11-B11)/B11</f>
        <v>0</v>
      </c>
      <c r="F11" s="15">
        <v>0.85714285714285698</v>
      </c>
      <c r="G11" s="16">
        <v>0.85714285714285698</v>
      </c>
      <c r="H11" s="16">
        <f t="shared" ref="H11:H22" si="2">G11-F11</f>
        <v>0</v>
      </c>
      <c r="I11" s="17">
        <f t="shared" ref="I11:I22" si="3">(G11-F11)/F11</f>
        <v>0</v>
      </c>
      <c r="J11" s="76">
        <v>24</v>
      </c>
      <c r="K11" s="77">
        <v>24</v>
      </c>
      <c r="L11" s="77">
        <f t="shared" ref="L11:L22" si="4">K11-J11</f>
        <v>0</v>
      </c>
      <c r="M11" s="50">
        <f t="shared" ref="M11:M22" si="5">IFERROR((K11-J11)/ABS(J11),0)</f>
        <v>0</v>
      </c>
      <c r="N11" s="61">
        <v>127434.75261662299</v>
      </c>
      <c r="O11" s="62">
        <v>123031.327897258</v>
      </c>
      <c r="P11" s="62">
        <f t="shared" ref="P11:P22" si="6">O11-N11</f>
        <v>-4403.4247193649935</v>
      </c>
      <c r="Q11" s="17">
        <f t="shared" ref="Q11:Q22" si="7">(O11-N11)/N11</f>
        <v>-3.4554347451925739E-2</v>
      </c>
      <c r="R11" s="71">
        <v>1.2676145378058834E-3</v>
      </c>
      <c r="S11" s="72">
        <v>1.4217203436022174E-3</v>
      </c>
      <c r="T11" s="73">
        <f t="shared" ref="T11:T22" si="8">S11-R11</f>
        <v>1.5410580579633404E-4</v>
      </c>
      <c r="U11" s="50">
        <f t="shared" ref="U11:U22" si="9">(S11-R11)/ABS(R11)</f>
        <v>0.12157150395503991</v>
      </c>
      <c r="V11" s="15">
        <v>17113.6162812886</v>
      </c>
      <c r="W11" s="16">
        <v>17556.5233289321</v>
      </c>
      <c r="X11" s="16">
        <f t="shared" ref="X11:X22" si="10">W11-V11</f>
        <v>442.90704764350085</v>
      </c>
      <c r="Y11" s="17">
        <f t="shared" ref="Y11:Y22" si="11">(W11-V11)/V11</f>
        <v>2.5880389063517754E-2</v>
      </c>
      <c r="Z11" s="15">
        <v>1.3211655854062501</v>
      </c>
      <c r="AA11" s="16">
        <v>1.36419139841471</v>
      </c>
      <c r="AB11" s="16">
        <f t="shared" ref="AB11:AB22" si="12">AA11-Z11</f>
        <v>4.3025813008459979E-2</v>
      </c>
      <c r="AC11" s="17">
        <f t="shared" ref="AC11:AC22" si="13">(AA11-Z11)/Z11</f>
        <v>3.2566555989444586E-2</v>
      </c>
      <c r="AD11" s="15">
        <v>25.753571428250002</v>
      </c>
      <c r="AE11" s="16">
        <v>25.267857142499999</v>
      </c>
      <c r="AF11" s="16">
        <f t="shared" ref="AF11:AF22" si="14">AE11-AD11</f>
        <v>-0.48571428575000297</v>
      </c>
      <c r="AG11" s="17">
        <f t="shared" ref="AG11:AG22" si="15">(AE11-AD11)/AD11</f>
        <v>-1.8860074887213734E-2</v>
      </c>
      <c r="AH11" s="15">
        <v>25.753571428250002</v>
      </c>
      <c r="AI11" s="16">
        <v>25.267857142499999</v>
      </c>
      <c r="AJ11" s="16">
        <f t="shared" ref="AJ11:AJ22" si="16">AI11-AH11</f>
        <v>-0.48571428575000297</v>
      </c>
      <c r="AK11" s="17">
        <f t="shared" ref="AK11:AK22" si="17">(AI11-AH11)/AH11</f>
        <v>-1.8860074887213734E-2</v>
      </c>
    </row>
    <row r="12" spans="1:37" x14ac:dyDescent="0.3">
      <c r="A12" s="1" t="s">
        <v>2</v>
      </c>
      <c r="B12" s="23">
        <v>35</v>
      </c>
      <c r="C12" s="24">
        <v>35</v>
      </c>
      <c r="D12" s="24">
        <f t="shared" si="0"/>
        <v>0</v>
      </c>
      <c r="E12" s="17">
        <f t="shared" si="1"/>
        <v>0</v>
      </c>
      <c r="F12" s="15">
        <v>0.85714285714285698</v>
      </c>
      <c r="G12" s="16">
        <v>0.85714285714285698</v>
      </c>
      <c r="H12" s="16">
        <f t="shared" si="2"/>
        <v>0</v>
      </c>
      <c r="I12" s="17">
        <f t="shared" si="3"/>
        <v>0</v>
      </c>
      <c r="J12" s="76">
        <v>30</v>
      </c>
      <c r="K12" s="77">
        <v>30</v>
      </c>
      <c r="L12" s="77">
        <f t="shared" si="4"/>
        <v>0</v>
      </c>
      <c r="M12" s="50">
        <f t="shared" si="5"/>
        <v>0</v>
      </c>
      <c r="N12" s="61">
        <v>127434.75261662299</v>
      </c>
      <c r="O12" s="62">
        <v>123031.327897258</v>
      </c>
      <c r="P12" s="62">
        <f t="shared" si="6"/>
        <v>-4403.4247193649935</v>
      </c>
      <c r="Q12" s="17">
        <f t="shared" si="7"/>
        <v>-3.4554347451925739E-2</v>
      </c>
      <c r="R12" s="71">
        <v>7.2755225910534627E-3</v>
      </c>
      <c r="S12" s="72">
        <v>6.4599998796628366E-3</v>
      </c>
      <c r="T12" s="73">
        <f t="shared" si="8"/>
        <v>-8.1552271139062604E-4</v>
      </c>
      <c r="U12" s="50">
        <f t="shared" si="9"/>
        <v>-0.1120912898261707</v>
      </c>
      <c r="V12" s="15">
        <v>17344.936078436502</v>
      </c>
      <c r="W12" s="16">
        <v>19519</v>
      </c>
      <c r="X12" s="16">
        <f t="shared" si="10"/>
        <v>2174.0639215634983</v>
      </c>
      <c r="Y12" s="17">
        <f t="shared" si="11"/>
        <v>0.12534286155521374</v>
      </c>
      <c r="Z12" s="15">
        <v>1.3389947901485999</v>
      </c>
      <c r="AA12" s="16">
        <v>1.4679167269334299</v>
      </c>
      <c r="AB12" s="16">
        <f t="shared" si="12"/>
        <v>0.12892193678482999</v>
      </c>
      <c r="AC12" s="17">
        <f t="shared" si="13"/>
        <v>9.6282627634811338E-2</v>
      </c>
      <c r="AD12" s="15">
        <v>25.294285713800001</v>
      </c>
      <c r="AE12" s="16">
        <v>25.794285714000001</v>
      </c>
      <c r="AF12" s="16">
        <f t="shared" si="14"/>
        <v>0.50000000020000002</v>
      </c>
      <c r="AG12" s="17">
        <f t="shared" si="15"/>
        <v>1.97673105244957E-2</v>
      </c>
      <c r="AH12" s="15">
        <v>25.294285713800001</v>
      </c>
      <c r="AI12" s="16">
        <v>25.794285714000001</v>
      </c>
      <c r="AJ12" s="16">
        <f t="shared" si="16"/>
        <v>0.50000000020000002</v>
      </c>
      <c r="AK12" s="17">
        <f t="shared" si="17"/>
        <v>1.97673105244957E-2</v>
      </c>
    </row>
    <row r="13" spans="1:37" x14ac:dyDescent="0.3">
      <c r="A13" s="1" t="s">
        <v>3</v>
      </c>
      <c r="B13" s="23">
        <v>28</v>
      </c>
      <c r="C13" s="24">
        <v>28</v>
      </c>
      <c r="D13" s="24">
        <f t="shared" si="0"/>
        <v>0</v>
      </c>
      <c r="E13" s="17">
        <f t="shared" si="1"/>
        <v>0</v>
      </c>
      <c r="F13" s="15">
        <v>0.82142857142857095</v>
      </c>
      <c r="G13" s="16">
        <v>0.82142857142857095</v>
      </c>
      <c r="H13" s="16">
        <f t="shared" si="2"/>
        <v>0</v>
      </c>
      <c r="I13" s="17">
        <f t="shared" si="3"/>
        <v>0</v>
      </c>
      <c r="J13" s="76">
        <v>23</v>
      </c>
      <c r="K13" s="77">
        <v>23</v>
      </c>
      <c r="L13" s="77">
        <f t="shared" si="4"/>
        <v>0</v>
      </c>
      <c r="M13" s="50">
        <f t="shared" si="5"/>
        <v>0</v>
      </c>
      <c r="N13" s="61">
        <v>129914.017630651</v>
      </c>
      <c r="O13" s="62">
        <v>116229.877071775</v>
      </c>
      <c r="P13" s="62">
        <f t="shared" si="6"/>
        <v>-13684.140558875995</v>
      </c>
      <c r="Q13" s="17">
        <f t="shared" si="7"/>
        <v>-0.10533228675738726</v>
      </c>
      <c r="R13" s="71">
        <v>2.0195842060803937E-3</v>
      </c>
      <c r="S13" s="72">
        <v>1.0458268485245004E-3</v>
      </c>
      <c r="T13" s="73">
        <f t="shared" si="8"/>
        <v>-9.7375735755589332E-4</v>
      </c>
      <c r="U13" s="50">
        <f t="shared" si="9"/>
        <v>-0.4821573443801882</v>
      </c>
      <c r="V13" s="15">
        <v>15138.382112675299</v>
      </c>
      <c r="W13" s="16">
        <v>17733.9792442586</v>
      </c>
      <c r="X13" s="16">
        <f t="shared" si="10"/>
        <v>2595.5971315833012</v>
      </c>
      <c r="Y13" s="17">
        <f t="shared" si="11"/>
        <v>0.17145802716989283</v>
      </c>
      <c r="Z13" s="15">
        <v>1.38014023540171</v>
      </c>
      <c r="AA13" s="16">
        <v>1.5027551519992499</v>
      </c>
      <c r="AB13" s="16">
        <f t="shared" si="12"/>
        <v>0.12261491659753987</v>
      </c>
      <c r="AC13" s="17">
        <f t="shared" si="13"/>
        <v>8.8842360690869218E-2</v>
      </c>
      <c r="AD13" s="15">
        <v>24.271428571000001</v>
      </c>
      <c r="AE13" s="16">
        <v>24.764285714</v>
      </c>
      <c r="AF13" s="16">
        <f t="shared" si="14"/>
        <v>0.49285714299999839</v>
      </c>
      <c r="AG13" s="17">
        <f t="shared" si="15"/>
        <v>2.0306062395885265E-2</v>
      </c>
      <c r="AH13" s="15">
        <v>24.271428571000001</v>
      </c>
      <c r="AI13" s="16">
        <v>24.764285714</v>
      </c>
      <c r="AJ13" s="16">
        <f t="shared" si="16"/>
        <v>0.49285714299999839</v>
      </c>
      <c r="AK13" s="17">
        <f t="shared" si="17"/>
        <v>2.0306062395885265E-2</v>
      </c>
    </row>
    <row r="14" spans="1:37" x14ac:dyDescent="0.3">
      <c r="A14" s="1" t="s">
        <v>4</v>
      </c>
      <c r="B14" s="23">
        <v>28</v>
      </c>
      <c r="C14" s="24">
        <v>28</v>
      </c>
      <c r="D14" s="24">
        <f t="shared" si="0"/>
        <v>0</v>
      </c>
      <c r="E14" s="17">
        <f t="shared" si="1"/>
        <v>0</v>
      </c>
      <c r="F14" s="15">
        <v>0.82142857142857095</v>
      </c>
      <c r="G14" s="16">
        <v>0.82142857142857095</v>
      </c>
      <c r="H14" s="16">
        <f t="shared" si="2"/>
        <v>0</v>
      </c>
      <c r="I14" s="17">
        <f t="shared" si="3"/>
        <v>0</v>
      </c>
      <c r="J14" s="76">
        <v>23</v>
      </c>
      <c r="K14" s="77">
        <v>23</v>
      </c>
      <c r="L14" s="77">
        <f t="shared" si="4"/>
        <v>0</v>
      </c>
      <c r="M14" s="50">
        <f t="shared" si="5"/>
        <v>0</v>
      </c>
      <c r="N14" s="61">
        <v>137351.812672734</v>
      </c>
      <c r="O14" s="62">
        <v>95825.524595327995</v>
      </c>
      <c r="P14" s="62">
        <f t="shared" si="6"/>
        <v>-41526.288077406003</v>
      </c>
      <c r="Q14" s="17">
        <f t="shared" si="7"/>
        <v>-0.30233520234894923</v>
      </c>
      <c r="R14" s="71">
        <v>1.4573695800745856E-3</v>
      </c>
      <c r="S14" s="72">
        <v>2.0415357087910646E-3</v>
      </c>
      <c r="T14" s="73">
        <f t="shared" si="8"/>
        <v>5.8416612871647899E-4</v>
      </c>
      <c r="U14" s="50">
        <f t="shared" si="9"/>
        <v>0.40083595589156074</v>
      </c>
      <c r="V14" s="15">
        <v>17912.924170168499</v>
      </c>
      <c r="W14" s="16">
        <v>17953.935655392801</v>
      </c>
      <c r="X14" s="16">
        <f t="shared" si="10"/>
        <v>41.011485224302305</v>
      </c>
      <c r="Y14" s="17">
        <f t="shared" si="11"/>
        <v>2.2894913658263161E-3</v>
      </c>
      <c r="Z14" s="15">
        <v>1.39584635053531</v>
      </c>
      <c r="AA14" s="16">
        <v>1.5199975263327701</v>
      </c>
      <c r="AB14" s="16">
        <f t="shared" si="12"/>
        <v>0.12415117579746004</v>
      </c>
      <c r="AC14" s="17">
        <f t="shared" si="13"/>
        <v>8.8943296480911246E-2</v>
      </c>
      <c r="AD14" s="15">
        <v>23.049999999499999</v>
      </c>
      <c r="AE14" s="16">
        <v>23.464285713750002</v>
      </c>
      <c r="AF14" s="16">
        <f t="shared" si="14"/>
        <v>0.41428571425000271</v>
      </c>
      <c r="AG14" s="17">
        <f t="shared" si="15"/>
        <v>1.7973349859392165E-2</v>
      </c>
      <c r="AH14" s="15">
        <v>23.049999999499999</v>
      </c>
      <c r="AI14" s="16">
        <v>23.464285713750002</v>
      </c>
      <c r="AJ14" s="16">
        <f t="shared" si="16"/>
        <v>0.41428571425000271</v>
      </c>
      <c r="AK14" s="17">
        <f t="shared" si="17"/>
        <v>1.7973349859392165E-2</v>
      </c>
    </row>
    <row r="15" spans="1:37" x14ac:dyDescent="0.3">
      <c r="A15" s="1" t="s">
        <v>5</v>
      </c>
      <c r="B15" s="23">
        <v>35</v>
      </c>
      <c r="C15" s="24">
        <v>35</v>
      </c>
      <c r="D15" s="24">
        <f t="shared" si="0"/>
        <v>0</v>
      </c>
      <c r="E15" s="17">
        <f t="shared" si="1"/>
        <v>0</v>
      </c>
      <c r="F15" s="15">
        <v>0.77142857142857102</v>
      </c>
      <c r="G15" s="16">
        <v>0.82857142857142896</v>
      </c>
      <c r="H15" s="16">
        <f t="shared" si="2"/>
        <v>5.7142857142857939E-2</v>
      </c>
      <c r="I15" s="17">
        <f t="shared" si="3"/>
        <v>7.4074074074075139E-2</v>
      </c>
      <c r="J15" s="76">
        <v>27</v>
      </c>
      <c r="K15" s="77">
        <v>29</v>
      </c>
      <c r="L15" s="77">
        <f t="shared" si="4"/>
        <v>2</v>
      </c>
      <c r="M15" s="50">
        <f t="shared" si="5"/>
        <v>7.407407407407407E-2</v>
      </c>
      <c r="N15" s="61">
        <v>137351.812672734</v>
      </c>
      <c r="O15" s="62">
        <v>95825.524595327995</v>
      </c>
      <c r="P15" s="62">
        <f t="shared" si="6"/>
        <v>-41526.288077406003</v>
      </c>
      <c r="Q15" s="17">
        <f t="shared" si="7"/>
        <v>-0.30233520234894923</v>
      </c>
      <c r="R15" s="71">
        <v>-8.6271870425669306E-4</v>
      </c>
      <c r="S15" s="72">
        <v>-2.6609685498798497E-3</v>
      </c>
      <c r="T15" s="73">
        <f t="shared" si="8"/>
        <v>-1.7982498456231566E-3</v>
      </c>
      <c r="U15" s="50">
        <f t="shared" si="9"/>
        <v>-2.0843988159182252</v>
      </c>
      <c r="V15" s="15">
        <v>18046.4611879769</v>
      </c>
      <c r="W15" s="16">
        <v>17953.935655392801</v>
      </c>
      <c r="X15" s="16">
        <f t="shared" si="10"/>
        <v>-92.525532584098983</v>
      </c>
      <c r="Y15" s="17">
        <f t="shared" si="11"/>
        <v>-5.127073481073525E-3</v>
      </c>
      <c r="Z15" s="15">
        <v>1.38746746951974</v>
      </c>
      <c r="AA15" s="16">
        <v>1.5098330830384401</v>
      </c>
      <c r="AB15" s="16">
        <f t="shared" si="12"/>
        <v>0.12236561351870012</v>
      </c>
      <c r="AC15" s="17">
        <f t="shared" si="13"/>
        <v>8.8193500897758653E-2</v>
      </c>
      <c r="AD15" s="15">
        <v>21.428571428000001</v>
      </c>
      <c r="AE15" s="16">
        <v>21.879999999599999</v>
      </c>
      <c r="AF15" s="16">
        <f t="shared" si="14"/>
        <v>0.4514285715999975</v>
      </c>
      <c r="AG15" s="17">
        <f t="shared" si="15"/>
        <v>2.1066666675228326E-2</v>
      </c>
      <c r="AH15" s="15">
        <v>21.428571428000001</v>
      </c>
      <c r="AI15" s="16">
        <v>21.879999999599999</v>
      </c>
      <c r="AJ15" s="16">
        <f t="shared" si="16"/>
        <v>0.4514285715999975</v>
      </c>
      <c r="AK15" s="17">
        <f t="shared" si="17"/>
        <v>2.1066666675228326E-2</v>
      </c>
    </row>
    <row r="16" spans="1:37" x14ac:dyDescent="0.3">
      <c r="A16" s="1" t="s">
        <v>6</v>
      </c>
      <c r="B16" s="23">
        <v>28</v>
      </c>
      <c r="C16" s="24">
        <v>28</v>
      </c>
      <c r="D16" s="24">
        <f t="shared" si="0"/>
        <v>0</v>
      </c>
      <c r="E16" s="17">
        <f t="shared" si="1"/>
        <v>0</v>
      </c>
      <c r="F16" s="15">
        <v>0.82142857142857095</v>
      </c>
      <c r="G16" s="16">
        <v>0.82142857142857095</v>
      </c>
      <c r="H16" s="16">
        <f t="shared" si="2"/>
        <v>0</v>
      </c>
      <c r="I16" s="17">
        <f t="shared" si="3"/>
        <v>0</v>
      </c>
      <c r="J16" s="76">
        <v>23</v>
      </c>
      <c r="K16" s="77">
        <v>23</v>
      </c>
      <c r="L16" s="77">
        <f t="shared" si="4"/>
        <v>0</v>
      </c>
      <c r="M16" s="50">
        <f t="shared" si="5"/>
        <v>0</v>
      </c>
      <c r="N16" s="61">
        <v>137555.178628714</v>
      </c>
      <c r="O16" s="62">
        <v>103133.97554575501</v>
      </c>
      <c r="P16" s="62">
        <f t="shared" si="6"/>
        <v>-34421.203082958993</v>
      </c>
      <c r="Q16" s="17">
        <f t="shared" si="7"/>
        <v>-0.25023560309472587</v>
      </c>
      <c r="R16" s="71">
        <v>2.0333670329302223E-3</v>
      </c>
      <c r="S16" s="72">
        <v>4.6268839734426859E-3</v>
      </c>
      <c r="T16" s="73">
        <f t="shared" si="8"/>
        <v>2.5935169405124636E-3</v>
      </c>
      <c r="U16" s="50">
        <f t="shared" si="9"/>
        <v>1.2754789954349888</v>
      </c>
      <c r="V16" s="15">
        <v>18091.616966349298</v>
      </c>
      <c r="W16" s="16">
        <v>17953.935655392801</v>
      </c>
      <c r="X16" s="16">
        <f t="shared" si="10"/>
        <v>-137.68131095649733</v>
      </c>
      <c r="Y16" s="17">
        <f t="shared" si="11"/>
        <v>-7.6102269472422945E-3</v>
      </c>
      <c r="Z16" s="15">
        <v>1.3667796391270399</v>
      </c>
      <c r="AA16" s="16">
        <v>1.4805651829926501</v>
      </c>
      <c r="AB16" s="16">
        <f t="shared" si="12"/>
        <v>0.11378554386561013</v>
      </c>
      <c r="AC16" s="17">
        <f t="shared" si="13"/>
        <v>8.3250833278643799E-2</v>
      </c>
      <c r="AD16" s="15">
        <v>20.817857142499999</v>
      </c>
      <c r="AE16" s="16">
        <v>20.814285713749999</v>
      </c>
      <c r="AF16" s="16">
        <f t="shared" si="14"/>
        <v>-3.5714287499999386E-3</v>
      </c>
      <c r="AG16" s="17">
        <f t="shared" si="15"/>
        <v>-1.7155602161899786E-4</v>
      </c>
      <c r="AH16" s="15">
        <v>20.817857142499999</v>
      </c>
      <c r="AI16" s="16">
        <v>20.814285713749999</v>
      </c>
      <c r="AJ16" s="16">
        <f t="shared" si="16"/>
        <v>-3.5714287499999386E-3</v>
      </c>
      <c r="AK16" s="17">
        <f t="shared" si="17"/>
        <v>-1.7155602161899786E-4</v>
      </c>
    </row>
    <row r="17" spans="1:37" x14ac:dyDescent="0.3">
      <c r="A17" s="1" t="s">
        <v>7</v>
      </c>
      <c r="B17" s="23">
        <v>28</v>
      </c>
      <c r="C17" s="24">
        <v>28</v>
      </c>
      <c r="D17" s="24">
        <f t="shared" si="0"/>
        <v>0</v>
      </c>
      <c r="E17" s="17">
        <f t="shared" si="1"/>
        <v>0</v>
      </c>
      <c r="F17" s="15">
        <v>0.78571428571428603</v>
      </c>
      <c r="G17" s="16">
        <v>0.78571428571428603</v>
      </c>
      <c r="H17" s="16">
        <f t="shared" si="2"/>
        <v>0</v>
      </c>
      <c r="I17" s="17">
        <f t="shared" si="3"/>
        <v>0</v>
      </c>
      <c r="J17" s="76">
        <v>22</v>
      </c>
      <c r="K17" s="77">
        <v>22</v>
      </c>
      <c r="L17" s="77">
        <f t="shared" si="4"/>
        <v>0</v>
      </c>
      <c r="M17" s="50">
        <f t="shared" si="5"/>
        <v>0</v>
      </c>
      <c r="N17" s="61">
        <v>138165.27649665301</v>
      </c>
      <c r="O17" s="62">
        <v>125059.328397035</v>
      </c>
      <c r="P17" s="62">
        <f t="shared" si="6"/>
        <v>-13105.948099618006</v>
      </c>
      <c r="Q17" s="17">
        <f t="shared" si="7"/>
        <v>-9.4857032330662991E-2</v>
      </c>
      <c r="R17" s="71">
        <v>6.0977273658324727E-4</v>
      </c>
      <c r="S17" s="72">
        <v>-1.102389651978064E-3</v>
      </c>
      <c r="T17" s="73">
        <f t="shared" si="8"/>
        <v>-1.7121623885613113E-3</v>
      </c>
      <c r="U17" s="50">
        <f t="shared" si="9"/>
        <v>-2.8078696961020393</v>
      </c>
      <c r="V17" s="15">
        <v>18164.553861420602</v>
      </c>
      <c r="W17" s="16">
        <v>17953.935655392801</v>
      </c>
      <c r="X17" s="16">
        <f t="shared" si="10"/>
        <v>-210.61820602780062</v>
      </c>
      <c r="Y17" s="17">
        <f t="shared" si="11"/>
        <v>-1.159501123091876E-2</v>
      </c>
      <c r="Z17" s="15">
        <v>1.3763205380563199</v>
      </c>
      <c r="AA17" s="16">
        <v>1.4492673484409999</v>
      </c>
      <c r="AB17" s="16">
        <f t="shared" si="12"/>
        <v>7.2946810384679983E-2</v>
      </c>
      <c r="AC17" s="17">
        <f t="shared" si="13"/>
        <v>5.300132372339484E-2</v>
      </c>
      <c r="AD17" s="15">
        <v>20.821428570750001</v>
      </c>
      <c r="AE17" s="16">
        <v>21.085714285249999</v>
      </c>
      <c r="AF17" s="16">
        <f t="shared" si="14"/>
        <v>0.26428571449999794</v>
      </c>
      <c r="AG17" s="17">
        <f t="shared" si="15"/>
        <v>1.2692967420653702E-2</v>
      </c>
      <c r="AH17" s="15">
        <v>20.821428570750001</v>
      </c>
      <c r="AI17" s="16">
        <v>21.085714285249999</v>
      </c>
      <c r="AJ17" s="16">
        <f t="shared" si="16"/>
        <v>0.26428571449999794</v>
      </c>
      <c r="AK17" s="17">
        <f t="shared" si="17"/>
        <v>1.2692967420653702E-2</v>
      </c>
    </row>
    <row r="18" spans="1:37" x14ac:dyDescent="0.3">
      <c r="A18" s="1" t="s">
        <v>8</v>
      </c>
      <c r="B18" s="23">
        <v>35</v>
      </c>
      <c r="C18" s="24">
        <v>35</v>
      </c>
      <c r="D18" s="24">
        <f t="shared" si="0"/>
        <v>0</v>
      </c>
      <c r="E18" s="17">
        <f t="shared" si="1"/>
        <v>0</v>
      </c>
      <c r="F18" s="15">
        <v>0.82857142857142896</v>
      </c>
      <c r="G18" s="16">
        <v>0.85714285714285698</v>
      </c>
      <c r="H18" s="16">
        <f t="shared" si="2"/>
        <v>2.8571428571428026E-2</v>
      </c>
      <c r="I18" s="17">
        <f t="shared" si="3"/>
        <v>3.4482758620688982E-2</v>
      </c>
      <c r="J18" s="76">
        <v>29</v>
      </c>
      <c r="K18" s="77">
        <v>30</v>
      </c>
      <c r="L18" s="77">
        <f t="shared" si="4"/>
        <v>1</v>
      </c>
      <c r="M18" s="50">
        <f t="shared" si="5"/>
        <v>3.4482758620689655E-2</v>
      </c>
      <c r="N18" s="61">
        <v>138165.27649665301</v>
      </c>
      <c r="O18" s="62">
        <v>125059.328397035</v>
      </c>
      <c r="P18" s="62">
        <f t="shared" si="6"/>
        <v>-13105.948099618006</v>
      </c>
      <c r="Q18" s="17">
        <f t="shared" si="7"/>
        <v>-9.4857032330662991E-2</v>
      </c>
      <c r="R18" s="71">
        <v>6.3829985801344691E-5</v>
      </c>
      <c r="S18" s="72">
        <v>1.3635397135463023E-3</v>
      </c>
      <c r="T18" s="73">
        <f t="shared" si="8"/>
        <v>1.2997097277449576E-3</v>
      </c>
      <c r="U18" s="50">
        <f t="shared" si="9"/>
        <v>20.362055723934954</v>
      </c>
      <c r="V18" s="15">
        <v>18098.691543034402</v>
      </c>
      <c r="W18" s="16">
        <v>17953.935655392801</v>
      </c>
      <c r="X18" s="16">
        <f t="shared" si="10"/>
        <v>-144.75588764160057</v>
      </c>
      <c r="Y18" s="17">
        <f t="shared" si="11"/>
        <v>-7.9981410422629365E-3</v>
      </c>
      <c r="Z18" s="15">
        <v>1.3868574046236299</v>
      </c>
      <c r="AA18" s="16">
        <v>1.4366207153664201</v>
      </c>
      <c r="AB18" s="16">
        <f t="shared" si="12"/>
        <v>4.9763310742790168E-2</v>
      </c>
      <c r="AC18" s="17">
        <f t="shared" si="13"/>
        <v>3.5882067310514236E-2</v>
      </c>
      <c r="AD18" s="15">
        <v>21.382857142599999</v>
      </c>
      <c r="AE18" s="16">
        <v>21.811428571</v>
      </c>
      <c r="AF18" s="16">
        <f t="shared" si="14"/>
        <v>0.42857142840000151</v>
      </c>
      <c r="AG18" s="17">
        <f t="shared" si="15"/>
        <v>2.0042757875708764E-2</v>
      </c>
      <c r="AH18" s="15">
        <v>21.382857142599999</v>
      </c>
      <c r="AI18" s="16">
        <v>21.811428571</v>
      </c>
      <c r="AJ18" s="16">
        <f t="shared" si="16"/>
        <v>0.42857142840000151</v>
      </c>
      <c r="AK18" s="17">
        <f t="shared" si="17"/>
        <v>2.0042757875708764E-2</v>
      </c>
    </row>
    <row r="19" spans="1:37" x14ac:dyDescent="0.3">
      <c r="A19" s="1" t="s">
        <v>9</v>
      </c>
      <c r="B19" s="23">
        <v>28</v>
      </c>
      <c r="C19" s="24">
        <v>28</v>
      </c>
      <c r="D19" s="24">
        <f t="shared" si="0"/>
        <v>0</v>
      </c>
      <c r="E19" s="17">
        <f t="shared" si="1"/>
        <v>0</v>
      </c>
      <c r="F19" s="15">
        <v>0.82142857142857095</v>
      </c>
      <c r="G19" s="16">
        <v>0.82142857142857095</v>
      </c>
      <c r="H19" s="16">
        <f t="shared" si="2"/>
        <v>0</v>
      </c>
      <c r="I19" s="17">
        <f t="shared" si="3"/>
        <v>0</v>
      </c>
      <c r="J19" s="76">
        <v>23</v>
      </c>
      <c r="K19" s="77">
        <v>23</v>
      </c>
      <c r="L19" s="77">
        <f t="shared" si="4"/>
        <v>0</v>
      </c>
      <c r="M19" s="50">
        <f t="shared" si="5"/>
        <v>0</v>
      </c>
      <c r="N19" s="61">
        <v>139548.58941269101</v>
      </c>
      <c r="O19" s="62">
        <v>128106.96810073299</v>
      </c>
      <c r="P19" s="62">
        <f t="shared" si="6"/>
        <v>-11441.621311958021</v>
      </c>
      <c r="Q19" s="17">
        <f t="shared" si="7"/>
        <v>-8.1990232650230435E-2</v>
      </c>
      <c r="R19" s="71">
        <v>1.1072543094827747E-3</v>
      </c>
      <c r="S19" s="72">
        <v>1.6775551652337128E-4</v>
      </c>
      <c r="T19" s="73">
        <f t="shared" si="8"/>
        <v>-9.3949879295940342E-4</v>
      </c>
      <c r="U19" s="50">
        <f t="shared" si="9"/>
        <v>-0.84849413988577393</v>
      </c>
      <c r="V19" s="15">
        <v>17109.248180913299</v>
      </c>
      <c r="W19" s="16">
        <v>17953.935655392801</v>
      </c>
      <c r="X19" s="16">
        <f t="shared" si="10"/>
        <v>844.68747447950227</v>
      </c>
      <c r="Y19" s="17">
        <f t="shared" si="11"/>
        <v>4.9370227466909798E-2</v>
      </c>
      <c r="Z19" s="15">
        <v>1.3974392197852099</v>
      </c>
      <c r="AA19" s="16">
        <v>1.4380522972029199</v>
      </c>
      <c r="AB19" s="16">
        <f t="shared" si="12"/>
        <v>4.0613077417710031E-2</v>
      </c>
      <c r="AC19" s="17">
        <f t="shared" si="13"/>
        <v>2.9062500066337316E-2</v>
      </c>
      <c r="AD19" s="15">
        <v>21.535714285249998</v>
      </c>
      <c r="AE19" s="16">
        <v>22.539285713750001</v>
      </c>
      <c r="AF19" s="16">
        <f t="shared" si="14"/>
        <v>1.0035714285000026</v>
      </c>
      <c r="AG19" s="17">
        <f t="shared" si="15"/>
        <v>4.6600331672646565E-2</v>
      </c>
      <c r="AH19" s="15">
        <v>21.535714285249998</v>
      </c>
      <c r="AI19" s="16">
        <v>22.539285713750001</v>
      </c>
      <c r="AJ19" s="16">
        <f t="shared" si="16"/>
        <v>1.0035714285000026</v>
      </c>
      <c r="AK19" s="17">
        <f t="shared" si="17"/>
        <v>4.6600331672646565E-2</v>
      </c>
    </row>
    <row r="20" spans="1:37" x14ac:dyDescent="0.3">
      <c r="A20" s="1" t="s">
        <v>10</v>
      </c>
      <c r="B20" s="23">
        <v>28</v>
      </c>
      <c r="C20" s="24">
        <v>28</v>
      </c>
      <c r="D20" s="24">
        <f t="shared" si="0"/>
        <v>0</v>
      </c>
      <c r="E20" s="17">
        <f t="shared" si="1"/>
        <v>0</v>
      </c>
      <c r="F20" s="15">
        <v>0.78571428571428603</v>
      </c>
      <c r="G20" s="16">
        <v>0.85714285714285698</v>
      </c>
      <c r="H20" s="16">
        <f t="shared" si="2"/>
        <v>7.1428571428570953E-2</v>
      </c>
      <c r="I20" s="17">
        <f t="shared" si="3"/>
        <v>9.0909090909090273E-2</v>
      </c>
      <c r="J20" s="76">
        <v>22</v>
      </c>
      <c r="K20" s="77">
        <v>24</v>
      </c>
      <c r="L20" s="77">
        <f t="shared" si="4"/>
        <v>2</v>
      </c>
      <c r="M20" s="50">
        <f t="shared" si="5"/>
        <v>9.0909090909090912E-2</v>
      </c>
      <c r="N20" s="61">
        <v>143698.528160805</v>
      </c>
      <c r="O20" s="62">
        <v>137249.887211828</v>
      </c>
      <c r="P20" s="62">
        <f t="shared" si="6"/>
        <v>-6448.6409489770012</v>
      </c>
      <c r="Q20" s="17">
        <f t="shared" si="7"/>
        <v>-4.4876179537209231E-2</v>
      </c>
      <c r="R20" s="71">
        <v>1.0891023252674881E-3</v>
      </c>
      <c r="S20" s="72">
        <v>-6.1304141614693108E-4</v>
      </c>
      <c r="T20" s="73">
        <f t="shared" si="8"/>
        <v>-1.7021437414144192E-3</v>
      </c>
      <c r="U20" s="50">
        <f t="shared" si="9"/>
        <v>-1.5628868857628833</v>
      </c>
      <c r="V20" s="15">
        <v>17947.004919494699</v>
      </c>
      <c r="W20" s="16">
        <v>17953.935655392801</v>
      </c>
      <c r="X20" s="16">
        <f t="shared" si="10"/>
        <v>6.9307358981022844</v>
      </c>
      <c r="Y20" s="17">
        <f t="shared" si="11"/>
        <v>3.8617785692886638E-4</v>
      </c>
      <c r="Z20" s="15">
        <v>1.38721064023739</v>
      </c>
      <c r="AA20" s="16">
        <v>1.4380522972029199</v>
      </c>
      <c r="AB20" s="16">
        <f t="shared" si="12"/>
        <v>5.0841656965529891E-2</v>
      </c>
      <c r="AC20" s="17">
        <f t="shared" si="13"/>
        <v>3.6650278977696911E-2</v>
      </c>
      <c r="AD20" s="15">
        <v>22.449999999749998</v>
      </c>
      <c r="AE20" s="16">
        <v>23.146428571000001</v>
      </c>
      <c r="AF20" s="16">
        <f t="shared" si="14"/>
        <v>0.6964285712500029</v>
      </c>
      <c r="AG20" s="17">
        <f t="shared" si="15"/>
        <v>3.1021317205245359E-2</v>
      </c>
      <c r="AH20" s="15">
        <v>22.449999999749998</v>
      </c>
      <c r="AI20" s="16">
        <v>23.146428571000001</v>
      </c>
      <c r="AJ20" s="16">
        <f t="shared" si="16"/>
        <v>0.6964285712500029</v>
      </c>
      <c r="AK20" s="17">
        <f t="shared" si="17"/>
        <v>3.1021317205245359E-2</v>
      </c>
    </row>
    <row r="21" spans="1:37" ht="15" thickBot="1" x14ac:dyDescent="0.35">
      <c r="A21" s="1" t="s">
        <v>11</v>
      </c>
      <c r="B21" s="187">
        <v>39</v>
      </c>
      <c r="C21" s="188">
        <v>41</v>
      </c>
      <c r="D21" s="188">
        <f t="shared" si="0"/>
        <v>2</v>
      </c>
      <c r="E21" s="189">
        <f t="shared" si="1"/>
        <v>5.128205128205128E-2</v>
      </c>
      <c r="F21" s="190">
        <v>0.87792207792207799</v>
      </c>
      <c r="G21" s="147">
        <v>0.81098901098901099</v>
      </c>
      <c r="H21" s="147">
        <f t="shared" si="2"/>
        <v>-6.6933066933066998E-2</v>
      </c>
      <c r="I21" s="189">
        <f t="shared" si="3"/>
        <v>-7.6240327719617723E-2</v>
      </c>
      <c r="J21" s="191">
        <v>34</v>
      </c>
      <c r="K21" s="192">
        <v>33</v>
      </c>
      <c r="L21" s="192">
        <f t="shared" si="4"/>
        <v>-1</v>
      </c>
      <c r="M21" s="193">
        <f t="shared" si="5"/>
        <v>-2.9411764705882353E-2</v>
      </c>
      <c r="N21" s="219">
        <v>143698.528160805</v>
      </c>
      <c r="O21" s="220">
        <v>137249.887211828</v>
      </c>
      <c r="P21" s="220">
        <f t="shared" si="6"/>
        <v>-6448.6409489770012</v>
      </c>
      <c r="Q21" s="189">
        <f t="shared" si="7"/>
        <v>-4.4876179537209231E-2</v>
      </c>
      <c r="R21" s="226">
        <v>2.1452116115669995E-3</v>
      </c>
      <c r="S21" s="227">
        <v>1.6415303727910224E-3</v>
      </c>
      <c r="T21" s="228">
        <f t="shared" si="8"/>
        <v>-5.0368123877597704E-4</v>
      </c>
      <c r="U21" s="193">
        <f t="shared" si="9"/>
        <v>-0.23479326517725499</v>
      </c>
      <c r="V21" s="190">
        <v>17509.542033546801</v>
      </c>
      <c r="W21" s="147">
        <v>18043.705333669801</v>
      </c>
      <c r="X21" s="147">
        <f t="shared" si="10"/>
        <v>534.16330012300023</v>
      </c>
      <c r="Y21" s="189">
        <f t="shared" si="11"/>
        <v>3.0506982941049431E-2</v>
      </c>
      <c r="Z21" s="190">
        <v>1.37804573988377</v>
      </c>
      <c r="AA21" s="147">
        <v>1.4380522972029199</v>
      </c>
      <c r="AB21" s="147">
        <f t="shared" si="12"/>
        <v>6.0006557319149945E-2</v>
      </c>
      <c r="AC21" s="189">
        <f t="shared" si="13"/>
        <v>4.3544677496852278E-2</v>
      </c>
      <c r="AD21" s="190">
        <v>23.643376623000002</v>
      </c>
      <c r="AE21" s="147">
        <v>23.799780219399999</v>
      </c>
      <c r="AF21" s="147">
        <f t="shared" si="14"/>
        <v>0.15640359639999701</v>
      </c>
      <c r="AG21" s="189">
        <f t="shared" si="15"/>
        <v>6.6151125067241629E-3</v>
      </c>
      <c r="AH21" s="190">
        <v>23.643376623000002</v>
      </c>
      <c r="AI21" s="147">
        <v>23.799780219399999</v>
      </c>
      <c r="AJ21" s="147">
        <f t="shared" si="16"/>
        <v>0.15640359639999701</v>
      </c>
      <c r="AK21" s="189">
        <f t="shared" si="17"/>
        <v>6.6151125067241629E-3</v>
      </c>
    </row>
    <row r="22" spans="1:37" ht="15" thickBot="1" x14ac:dyDescent="0.35">
      <c r="A22" s="4" t="s">
        <v>15</v>
      </c>
      <c r="B22" s="198">
        <f>SUM(B10:B21)</f>
        <v>365</v>
      </c>
      <c r="C22" s="199">
        <f>SUM(C10:C21)</f>
        <v>366</v>
      </c>
      <c r="D22" s="199">
        <f t="shared" si="0"/>
        <v>1</v>
      </c>
      <c r="E22" s="200">
        <f t="shared" si="1"/>
        <v>2.7397260273972603E-3</v>
      </c>
      <c r="F22" s="201">
        <f>(4*SUM(F10:F11,F13:F14,F16:F17,F19:F20)+5*SUM(F12,F15,F18,F21))/52</f>
        <v>0.82411338661338662</v>
      </c>
      <c r="G22" s="202">
        <f>(4*SUM(G10:G11,G13:G14,G16:G17,G19:G20)+5*SUM(G12,G15,G18,G21))/52</f>
        <v>0.82981121442659878</v>
      </c>
      <c r="H22" s="202">
        <f t="shared" si="2"/>
        <v>5.6978278132121529E-3</v>
      </c>
      <c r="I22" s="200">
        <f t="shared" si="3"/>
        <v>6.9138881927726225E-3</v>
      </c>
      <c r="J22" s="203">
        <f>SUM(J10:J21)</f>
        <v>301</v>
      </c>
      <c r="K22" s="204">
        <f>SUM(K10:K21)</f>
        <v>304</v>
      </c>
      <c r="L22" s="204">
        <f t="shared" si="4"/>
        <v>3</v>
      </c>
      <c r="M22" s="237">
        <f t="shared" si="5"/>
        <v>9.9667774086378731E-3</v>
      </c>
      <c r="N22" s="222">
        <f>(4*SUM(N10:N11,N13:N14,N16:N17,N19:N20)+5*SUM(N12,N15,N18,N21))/52</f>
        <v>136514.77698835201</v>
      </c>
      <c r="O22" s="223">
        <f>(4*SUM(O10:O11,O13:O14,O16:O17,O19:O20)+5*SUM(O12,O15,O18,O21))/52</f>
        <v>120663.55400318779</v>
      </c>
      <c r="P22" s="223">
        <f t="shared" si="6"/>
        <v>-15851.222985164219</v>
      </c>
      <c r="Q22" s="200">
        <f t="shared" si="7"/>
        <v>-0.11611360568326394</v>
      </c>
      <c r="R22" s="211">
        <f>PRODUCT((1+R10),(1+R11),(1+R12),(1+R13),(1+R14),(1+R15),(1+R16),(1+R17),(1+R18),(1+R19),(1+R20),(1+R21))-1</f>
        <v>1.900091579162444E-2</v>
      </c>
      <c r="S22" s="212">
        <f>PRODUCT((1+S10),(1+S11),(1+S12),(1+S13),(1+S14),(1+S15),(1+S16),(1+S17),(1+S18),(1+S19),(1+S20),(1+S21))-1</f>
        <v>1.5000000000000124E-2</v>
      </c>
      <c r="T22" s="240">
        <f t="shared" si="8"/>
        <v>-4.0009157916243154E-3</v>
      </c>
      <c r="U22" s="205">
        <f t="shared" si="9"/>
        <v>-0.21056436623901623</v>
      </c>
      <c r="V22" s="201">
        <f>(4*SUM(V10:V11,V13:V14,V16:V17,V19:V20)+5*SUM(V12,V15,V18,V21))/52</f>
        <v>17487.247318451842</v>
      </c>
      <c r="W22" s="202">
        <f>(4*SUM(W10:W11,W13:W14,W16:W17,W19:W20)+5*SUM(W12,W15,W18,W21))/52</f>
        <v>18018.539343533881</v>
      </c>
      <c r="X22" s="202">
        <f t="shared" si="10"/>
        <v>531.29202508203889</v>
      </c>
      <c r="Y22" s="218">
        <f t="shared" si="11"/>
        <v>3.0381684172868125E-2</v>
      </c>
      <c r="Z22" s="201">
        <f>(4*SUM(Z10:Z11,Z13:Z14,Z16:Z17,Z19:Z20)+5*SUM(Z12,Z15,Z18,Z21))/52</f>
        <v>1.3694927653345035</v>
      </c>
      <c r="AA22" s="202">
        <f>(4*SUM(AA10:AA11,AA13:AA14,AA16:AA17,AA19:AA20)+5*SUM(AA12,AA15,AA18,AA21))/52</f>
        <v>1.4529494913369148</v>
      </c>
      <c r="AB22" s="202">
        <f t="shared" si="12"/>
        <v>8.3456726002411274E-2</v>
      </c>
      <c r="AC22" s="200">
        <f t="shared" si="13"/>
        <v>6.0939880892343867E-2</v>
      </c>
      <c r="AD22" s="201">
        <f>(4*SUM(AD10:AD11,AD13:AD14,AD16:AD17,AD19:AD20)+5*SUM(AD12,AD15,AD18,AD21))/52</f>
        <v>22.925118630961546</v>
      </c>
      <c r="AE22" s="202">
        <f>(4*SUM(AE10:AE11,AE13:AE14,AE16:AE17,AE19:AE20)+5*SUM(AE12,AE15,AE18,AE21))/52</f>
        <v>23.278275570173072</v>
      </c>
      <c r="AF22" s="202">
        <f t="shared" si="14"/>
        <v>0.35315693921152658</v>
      </c>
      <c r="AG22" s="200">
        <f t="shared" si="15"/>
        <v>1.5404803128676947E-2</v>
      </c>
      <c r="AH22" s="201">
        <f>(4*SUM(AH10:AH11,AH13:AH14,AH16:AH17,AH19:AH20)+5*SUM(AH12,AH15,AH18,AH21))/52</f>
        <v>22.925118630961546</v>
      </c>
      <c r="AI22" s="202">
        <f>(4*SUM(AI10:AI11,AI13:AI14,AI16:AI17,AI19:AI20)+5*SUM(AI12,AI15,AI18,AI21))/52</f>
        <v>23.278275570173072</v>
      </c>
      <c r="AJ22" s="202">
        <f t="shared" si="16"/>
        <v>0.35315693921152658</v>
      </c>
      <c r="AK22" s="200">
        <f t="shared" si="17"/>
        <v>1.5404803128676947E-2</v>
      </c>
    </row>
    <row r="23" spans="1:37" ht="15" thickBot="1" x14ac:dyDescent="0.35">
      <c r="A23" s="36" t="str">
        <f>"Perú - "&amp;'Peru DT'!A22:J22</f>
        <v>Perú - w43</v>
      </c>
      <c r="B23" s="33"/>
      <c r="C23" s="33"/>
      <c r="D23" s="33"/>
      <c r="E23" s="33"/>
      <c r="F23" s="37"/>
      <c r="G23" s="37"/>
      <c r="J23" s="37"/>
      <c r="K23" s="37"/>
      <c r="N23" s="22"/>
      <c r="O23" s="22"/>
    </row>
    <row r="24" spans="1:37" ht="15" thickBot="1" x14ac:dyDescent="0.35">
      <c r="A24" s="21"/>
      <c r="B24" s="313"/>
      <c r="C24" s="313"/>
      <c r="D24" s="313"/>
      <c r="E24" s="313"/>
      <c r="F24" s="313"/>
      <c r="G24" s="313"/>
      <c r="H24" s="313"/>
      <c r="I24" s="313"/>
      <c r="J24" s="313"/>
      <c r="K24" s="313"/>
      <c r="L24" s="313"/>
      <c r="M24" s="314"/>
      <c r="N24" s="312" t="s">
        <v>22</v>
      </c>
      <c r="O24" s="313"/>
      <c r="P24" s="313"/>
      <c r="Q24" s="314"/>
      <c r="R24" s="312" t="s">
        <v>41</v>
      </c>
      <c r="S24" s="313"/>
      <c r="T24" s="313"/>
      <c r="U24" s="314"/>
      <c r="V24" s="312" t="s">
        <v>23</v>
      </c>
      <c r="W24" s="313"/>
      <c r="X24" s="313"/>
      <c r="Y24" s="314"/>
      <c r="Z24" s="312" t="s">
        <v>24</v>
      </c>
      <c r="AA24" s="313"/>
      <c r="AB24" s="313"/>
      <c r="AC24" s="314"/>
      <c r="AD24" s="312" t="s">
        <v>25</v>
      </c>
      <c r="AE24" s="313"/>
      <c r="AF24" s="313"/>
      <c r="AG24" s="314"/>
      <c r="AH24" s="312" t="s">
        <v>106</v>
      </c>
      <c r="AI24" s="313"/>
      <c r="AJ24" s="313"/>
      <c r="AK24" s="314"/>
    </row>
    <row r="25" spans="1:37" ht="15" thickBot="1" x14ac:dyDescent="0.35">
      <c r="A25" s="2"/>
      <c r="B25" s="312" t="s">
        <v>68</v>
      </c>
      <c r="C25" s="313"/>
      <c r="D25" s="313"/>
      <c r="E25" s="314"/>
      <c r="F25" s="312" t="s">
        <v>81</v>
      </c>
      <c r="G25" s="313"/>
      <c r="H25" s="313"/>
      <c r="I25" s="314"/>
      <c r="J25" s="312" t="s">
        <v>57</v>
      </c>
      <c r="K25" s="313"/>
      <c r="L25" s="313"/>
      <c r="M25" s="314"/>
      <c r="N25" s="312" t="s">
        <v>93</v>
      </c>
      <c r="O25" s="313"/>
      <c r="P25" s="313"/>
      <c r="Q25" s="314"/>
      <c r="R25" s="312" t="s">
        <v>35</v>
      </c>
      <c r="S25" s="313"/>
      <c r="T25" s="313"/>
      <c r="U25" s="314"/>
      <c r="V25" s="312" t="s">
        <v>84</v>
      </c>
      <c r="W25" s="313"/>
      <c r="X25" s="313"/>
      <c r="Y25" s="314"/>
      <c r="Z25" s="312" t="s">
        <v>107</v>
      </c>
      <c r="AA25" s="313"/>
      <c r="AB25" s="313"/>
      <c r="AC25" s="314"/>
      <c r="AD25" s="312" t="s">
        <v>16</v>
      </c>
      <c r="AE25" s="313"/>
      <c r="AF25" s="313"/>
      <c r="AG25" s="314"/>
      <c r="AH25" s="312" t="s">
        <v>95</v>
      </c>
      <c r="AI25" s="313"/>
      <c r="AJ25" s="313"/>
      <c r="AK25" s="314"/>
    </row>
    <row r="26" spans="1:37" x14ac:dyDescent="0.3">
      <c r="A26" s="1"/>
      <c r="B26" s="12">
        <v>2020</v>
      </c>
      <c r="C26" s="13">
        <v>2021</v>
      </c>
      <c r="D26" s="13" t="s">
        <v>12</v>
      </c>
      <c r="E26" s="14" t="s">
        <v>13</v>
      </c>
      <c r="F26" s="12">
        <v>2020</v>
      </c>
      <c r="G26" s="13">
        <v>2021</v>
      </c>
      <c r="H26" s="13" t="s">
        <v>12</v>
      </c>
      <c r="I26" s="14" t="s">
        <v>13</v>
      </c>
      <c r="J26" s="44">
        <v>2020</v>
      </c>
      <c r="K26" s="45">
        <v>2021</v>
      </c>
      <c r="L26" s="45" t="s">
        <v>12</v>
      </c>
      <c r="M26" s="46" t="s">
        <v>13</v>
      </c>
      <c r="N26" s="12">
        <v>2020</v>
      </c>
      <c r="O26" s="13">
        <v>2021</v>
      </c>
      <c r="P26" s="13" t="s">
        <v>12</v>
      </c>
      <c r="Q26" s="14" t="s">
        <v>13</v>
      </c>
      <c r="R26" s="44">
        <v>2020</v>
      </c>
      <c r="S26" s="45">
        <v>2021</v>
      </c>
      <c r="T26" s="45" t="s">
        <v>12</v>
      </c>
      <c r="U26" s="46" t="s">
        <v>13</v>
      </c>
      <c r="V26" s="12">
        <v>2020</v>
      </c>
      <c r="W26" s="13">
        <v>2021</v>
      </c>
      <c r="X26" s="13" t="s">
        <v>12</v>
      </c>
      <c r="Y26" s="14" t="s">
        <v>13</v>
      </c>
      <c r="Z26" s="12">
        <v>2020</v>
      </c>
      <c r="AA26" s="13">
        <v>2021</v>
      </c>
      <c r="AB26" s="13" t="s">
        <v>12</v>
      </c>
      <c r="AC26" s="14" t="s">
        <v>13</v>
      </c>
      <c r="AD26" s="12">
        <v>2020</v>
      </c>
      <c r="AE26" s="13">
        <v>2021</v>
      </c>
      <c r="AF26" s="13" t="s">
        <v>12</v>
      </c>
      <c r="AG26" s="14" t="s">
        <v>13</v>
      </c>
      <c r="AH26" s="12">
        <v>2020</v>
      </c>
      <c r="AI26" s="13">
        <v>2021</v>
      </c>
      <c r="AJ26" s="13" t="s">
        <v>12</v>
      </c>
      <c r="AK26" s="14" t="s">
        <v>13</v>
      </c>
    </row>
    <row r="27" spans="1:37" x14ac:dyDescent="0.3">
      <c r="A27" s="1" t="s">
        <v>0</v>
      </c>
      <c r="B27" s="23">
        <v>25</v>
      </c>
      <c r="C27" s="24">
        <v>24</v>
      </c>
      <c r="D27" s="24">
        <f>C27-B27</f>
        <v>-1</v>
      </c>
      <c r="E27" s="17">
        <f>(C27-B27)/B27</f>
        <v>-0.04</v>
      </c>
      <c r="F27" s="15">
        <v>0.83035714285714302</v>
      </c>
      <c r="G27" s="16">
        <v>0.80952380952380998</v>
      </c>
      <c r="H27" s="16">
        <f>G27-F27</f>
        <v>-2.0833333333333037E-2</v>
      </c>
      <c r="I27" s="17">
        <f>(G27-F27)/F27</f>
        <v>-2.5089605734766665E-2</v>
      </c>
      <c r="J27" s="76">
        <v>21</v>
      </c>
      <c r="K27" s="77">
        <v>20</v>
      </c>
      <c r="L27" s="77">
        <f>K27-J27</f>
        <v>-1</v>
      </c>
      <c r="M27" s="50">
        <f>IFERROR((K27-J27)/ABS(J27),0)</f>
        <v>-4.7619047619047616E-2</v>
      </c>
      <c r="N27" s="61">
        <v>137710.982796186</v>
      </c>
      <c r="O27" s="62">
        <v>138551.736949015</v>
      </c>
      <c r="P27" s="62">
        <f>O27-N27</f>
        <v>840.75415282900212</v>
      </c>
      <c r="Q27" s="17">
        <f>(O27-N27)/N27</f>
        <v>6.1052077020852351E-3</v>
      </c>
      <c r="R27" s="71">
        <v>6.5332289898556439E-4</v>
      </c>
      <c r="S27" s="72">
        <v>5.3808066732230486E-4</v>
      </c>
      <c r="T27" s="73">
        <f>S27-R27</f>
        <v>-1.1524223166325953E-4</v>
      </c>
      <c r="U27" s="50">
        <f>(S27-R27)/ABS(R27)</f>
        <v>-0.17639398809103413</v>
      </c>
      <c r="V27" s="15">
        <v>17107.330093820401</v>
      </c>
      <c r="W27" s="16">
        <v>17342.609810216502</v>
      </c>
      <c r="X27" s="16">
        <f>W27-V27</f>
        <v>235.27971639610041</v>
      </c>
      <c r="Y27" s="17">
        <f>(W27-V27)/V27</f>
        <v>1.3753152309903073E-2</v>
      </c>
      <c r="Z27" s="15">
        <v>1.31429698557964</v>
      </c>
      <c r="AA27" s="16">
        <v>1.3799336566171601</v>
      </c>
      <c r="AB27" s="16">
        <f>AA27-Z27</f>
        <v>6.5636671037520022E-2</v>
      </c>
      <c r="AC27" s="17">
        <f>(AA27-Z27)/Z27</f>
        <v>4.9940517065534089E-2</v>
      </c>
      <c r="AD27" s="15">
        <v>24.640178571250001</v>
      </c>
      <c r="AE27" s="16">
        <v>24.928571428249999</v>
      </c>
      <c r="AF27" s="16">
        <f>AE27-AD27</f>
        <v>0.28839285699999806</v>
      </c>
      <c r="AG27" s="17">
        <f>(AE27-AD27)/AD27</f>
        <v>1.1704170737483735E-2</v>
      </c>
      <c r="AH27" s="15">
        <v>24.640178571250001</v>
      </c>
      <c r="AI27" s="16">
        <v>24.928571428249999</v>
      </c>
      <c r="AJ27" s="16">
        <f>AI27-AH27</f>
        <v>0.28839285699999806</v>
      </c>
      <c r="AK27" s="17">
        <f>(AI27-AH27)/AH27</f>
        <v>1.1704170737483735E-2</v>
      </c>
    </row>
    <row r="28" spans="1:37" x14ac:dyDescent="0.3">
      <c r="A28" s="1" t="s">
        <v>1</v>
      </c>
      <c r="B28" s="23">
        <v>28</v>
      </c>
      <c r="C28" s="24">
        <v>28</v>
      </c>
      <c r="D28" s="24">
        <f t="shared" ref="D28:D38" si="18">C28-B28</f>
        <v>0</v>
      </c>
      <c r="E28" s="17">
        <f t="shared" ref="E28:E38" si="19">(C28-B28)/B28</f>
        <v>0</v>
      </c>
      <c r="F28" s="15">
        <v>0.85714285714285698</v>
      </c>
      <c r="G28" s="16">
        <v>0.85714285714285698</v>
      </c>
      <c r="H28" s="16">
        <f t="shared" ref="H28:H38" si="20">G28-F28</f>
        <v>0</v>
      </c>
      <c r="I28" s="17">
        <f t="shared" ref="I28:I38" si="21">(G28-F28)/F28</f>
        <v>0</v>
      </c>
      <c r="J28" s="76">
        <v>24</v>
      </c>
      <c r="K28" s="77">
        <v>24</v>
      </c>
      <c r="L28" s="77">
        <f t="shared" ref="L28:L38" si="22">K28-J28</f>
        <v>0</v>
      </c>
      <c r="M28" s="50">
        <f t="shared" ref="M28:M38" si="23">IFERROR((K28-J28)/ABS(J28),0)</f>
        <v>0</v>
      </c>
      <c r="N28" s="61">
        <v>127434.75261662299</v>
      </c>
      <c r="O28" s="62">
        <v>123111.363313644</v>
      </c>
      <c r="P28" s="62">
        <f t="shared" ref="P28:P38" si="24">O28-N28</f>
        <v>-4323.3893029789906</v>
      </c>
      <c r="Q28" s="17">
        <f t="shared" ref="Q28:Q38" si="25">(O28-N28)/N28</f>
        <v>-3.3926297294942398E-2</v>
      </c>
      <c r="R28" s="71">
        <v>1.2676145378058834E-3</v>
      </c>
      <c r="S28" s="72">
        <v>1.4217203436022174E-3</v>
      </c>
      <c r="T28" s="73">
        <f t="shared" ref="T28:T38" si="26">S28-R28</f>
        <v>1.5410580579633404E-4</v>
      </c>
      <c r="U28" s="50">
        <f t="shared" ref="U28:U38" si="27">(S28-R28)/ABS(R28)</f>
        <v>0.12157150395503991</v>
      </c>
      <c r="V28" s="15">
        <v>17113.6162812886</v>
      </c>
      <c r="W28" s="16">
        <v>17556.5233289321</v>
      </c>
      <c r="X28" s="16">
        <f t="shared" ref="X28:X38" si="28">W28-V28</f>
        <v>442.90704764350085</v>
      </c>
      <c r="Y28" s="17">
        <f t="shared" ref="Y28:Y38" si="29">(W28-V28)/V28</f>
        <v>2.5880389063517754E-2</v>
      </c>
      <c r="Z28" s="15">
        <v>1.3211655854062501</v>
      </c>
      <c r="AA28" s="16">
        <v>1.36419139841471</v>
      </c>
      <c r="AB28" s="16">
        <f t="shared" ref="AB28:AB38" si="30">AA28-Z28</f>
        <v>4.3025813008459979E-2</v>
      </c>
      <c r="AC28" s="17">
        <f t="shared" ref="AC28:AC38" si="31">(AA28-Z28)/Z28</f>
        <v>3.2566555989444586E-2</v>
      </c>
      <c r="AD28" s="15">
        <v>25.753571428250002</v>
      </c>
      <c r="AE28" s="16">
        <v>25.267857142499999</v>
      </c>
      <c r="AF28" s="16">
        <f t="shared" ref="AF28:AF38" si="32">AE28-AD28</f>
        <v>-0.48571428575000297</v>
      </c>
      <c r="AG28" s="17">
        <f t="shared" ref="AG28:AG38" si="33">(AE28-AD28)/AD28</f>
        <v>-1.8860074887213734E-2</v>
      </c>
      <c r="AH28" s="15">
        <v>25.753571428250002</v>
      </c>
      <c r="AI28" s="16">
        <v>25.267857142499999</v>
      </c>
      <c r="AJ28" s="16">
        <f t="shared" ref="AJ28:AJ38" si="34">AI28-AH28</f>
        <v>-0.48571428575000297</v>
      </c>
      <c r="AK28" s="17">
        <f t="shared" ref="AK28:AK38" si="35">(AI28-AH28)/AH28</f>
        <v>-1.8860074887213734E-2</v>
      </c>
    </row>
    <row r="29" spans="1:37" x14ac:dyDescent="0.3">
      <c r="A29" s="1" t="s">
        <v>2</v>
      </c>
      <c r="B29" s="23">
        <v>35</v>
      </c>
      <c r="C29" s="24">
        <v>35</v>
      </c>
      <c r="D29" s="24">
        <f t="shared" si="18"/>
        <v>0</v>
      </c>
      <c r="E29" s="17">
        <f t="shared" si="19"/>
        <v>0</v>
      </c>
      <c r="F29" s="15">
        <v>0.85714285714285698</v>
      </c>
      <c r="G29" s="16">
        <v>0.85714285714285698</v>
      </c>
      <c r="H29" s="16">
        <f t="shared" si="20"/>
        <v>0</v>
      </c>
      <c r="I29" s="17">
        <f t="shared" si="21"/>
        <v>0</v>
      </c>
      <c r="J29" s="76">
        <v>30</v>
      </c>
      <c r="K29" s="77">
        <v>30</v>
      </c>
      <c r="L29" s="77">
        <f t="shared" si="22"/>
        <v>0</v>
      </c>
      <c r="M29" s="50">
        <f t="shared" si="23"/>
        <v>0</v>
      </c>
      <c r="N29" s="61">
        <v>127434.75261662299</v>
      </c>
      <c r="O29" s="62">
        <v>123111.363313644</v>
      </c>
      <c r="P29" s="62">
        <f t="shared" si="24"/>
        <v>-4323.3893029789906</v>
      </c>
      <c r="Q29" s="17">
        <f t="shared" si="25"/>
        <v>-3.3926297294942398E-2</v>
      </c>
      <c r="R29" s="71">
        <v>7.2755225910534627E-3</v>
      </c>
      <c r="S29" s="72">
        <v>6.4599998796628366E-3</v>
      </c>
      <c r="T29" s="73">
        <f t="shared" si="26"/>
        <v>-8.1552271139062604E-4</v>
      </c>
      <c r="U29" s="50">
        <f t="shared" si="27"/>
        <v>-0.1120912898261707</v>
      </c>
      <c r="V29" s="15">
        <v>17344.936078436502</v>
      </c>
      <c r="W29" s="16">
        <v>19519</v>
      </c>
      <c r="X29" s="16">
        <f t="shared" si="28"/>
        <v>2174.0639215634983</v>
      </c>
      <c r="Y29" s="17">
        <f t="shared" si="29"/>
        <v>0.12534286155521374</v>
      </c>
      <c r="Z29" s="15">
        <v>1.3389947901485999</v>
      </c>
      <c r="AA29" s="16">
        <v>1.4679167269334299</v>
      </c>
      <c r="AB29" s="16">
        <f t="shared" si="30"/>
        <v>0.12892193678482999</v>
      </c>
      <c r="AC29" s="17">
        <f t="shared" si="31"/>
        <v>9.6282627634811338E-2</v>
      </c>
      <c r="AD29" s="15">
        <v>25.294285713800001</v>
      </c>
      <c r="AE29" s="16">
        <v>25.794285714000001</v>
      </c>
      <c r="AF29" s="16">
        <f t="shared" si="32"/>
        <v>0.50000000020000002</v>
      </c>
      <c r="AG29" s="17">
        <f t="shared" si="33"/>
        <v>1.97673105244957E-2</v>
      </c>
      <c r="AH29" s="15">
        <v>25.294285713800001</v>
      </c>
      <c r="AI29" s="16">
        <v>25.794285714000001</v>
      </c>
      <c r="AJ29" s="16">
        <f t="shared" si="34"/>
        <v>0.50000000020000002</v>
      </c>
      <c r="AK29" s="17">
        <f t="shared" si="35"/>
        <v>1.97673105244957E-2</v>
      </c>
    </row>
    <row r="30" spans="1:37" x14ac:dyDescent="0.3">
      <c r="A30" s="1" t="s">
        <v>3</v>
      </c>
      <c r="B30" s="23">
        <v>28</v>
      </c>
      <c r="C30" s="24">
        <v>28</v>
      </c>
      <c r="D30" s="24">
        <f t="shared" si="18"/>
        <v>0</v>
      </c>
      <c r="E30" s="17">
        <f t="shared" si="19"/>
        <v>0</v>
      </c>
      <c r="F30" s="15">
        <v>0.82142857142857095</v>
      </c>
      <c r="G30" s="16">
        <v>0.82142857142857095</v>
      </c>
      <c r="H30" s="16">
        <f t="shared" si="20"/>
        <v>0</v>
      </c>
      <c r="I30" s="17">
        <f t="shared" si="21"/>
        <v>0</v>
      </c>
      <c r="J30" s="76">
        <v>23</v>
      </c>
      <c r="K30" s="77">
        <v>23</v>
      </c>
      <c r="L30" s="77">
        <f t="shared" si="22"/>
        <v>0</v>
      </c>
      <c r="M30" s="50">
        <f t="shared" si="23"/>
        <v>0</v>
      </c>
      <c r="N30" s="61">
        <v>129914.017630651</v>
      </c>
      <c r="O30" s="62">
        <v>116222.51679880499</v>
      </c>
      <c r="P30" s="62">
        <f t="shared" si="24"/>
        <v>-13691.500831846002</v>
      </c>
      <c r="Q30" s="17">
        <f t="shared" si="25"/>
        <v>-0.10538894171352088</v>
      </c>
      <c r="R30" s="71">
        <v>2.0195842060803937E-3</v>
      </c>
      <c r="S30" s="72">
        <v>1.0458268485245004E-3</v>
      </c>
      <c r="T30" s="73">
        <f t="shared" si="26"/>
        <v>-9.7375735755589332E-4</v>
      </c>
      <c r="U30" s="50">
        <f t="shared" si="27"/>
        <v>-0.4821573443801882</v>
      </c>
      <c r="V30" s="15">
        <v>15138.382112675299</v>
      </c>
      <c r="W30" s="16">
        <v>17733.9792442586</v>
      </c>
      <c r="X30" s="16">
        <f t="shared" si="28"/>
        <v>2595.5971315833012</v>
      </c>
      <c r="Y30" s="17">
        <f t="shared" si="29"/>
        <v>0.17145802716989283</v>
      </c>
      <c r="Z30" s="15">
        <v>1.38014023540171</v>
      </c>
      <c r="AA30" s="16">
        <v>1.5027551519992499</v>
      </c>
      <c r="AB30" s="16">
        <f t="shared" si="30"/>
        <v>0.12261491659753987</v>
      </c>
      <c r="AC30" s="17">
        <f t="shared" si="31"/>
        <v>8.8842360690869218E-2</v>
      </c>
      <c r="AD30" s="15">
        <v>24.271428571000001</v>
      </c>
      <c r="AE30" s="16">
        <v>24.764285714</v>
      </c>
      <c r="AF30" s="16">
        <f t="shared" si="32"/>
        <v>0.49285714299999839</v>
      </c>
      <c r="AG30" s="17">
        <f t="shared" si="33"/>
        <v>2.0306062395885265E-2</v>
      </c>
      <c r="AH30" s="15">
        <v>24.271428571000001</v>
      </c>
      <c r="AI30" s="16">
        <v>24.764285714</v>
      </c>
      <c r="AJ30" s="16">
        <f t="shared" si="34"/>
        <v>0.49285714299999839</v>
      </c>
      <c r="AK30" s="17">
        <f t="shared" si="35"/>
        <v>2.0306062395885265E-2</v>
      </c>
    </row>
    <row r="31" spans="1:37" x14ac:dyDescent="0.3">
      <c r="A31" s="1" t="s">
        <v>4</v>
      </c>
      <c r="B31" s="23">
        <v>28</v>
      </c>
      <c r="C31" s="24">
        <v>28</v>
      </c>
      <c r="D31" s="24">
        <f t="shared" si="18"/>
        <v>0</v>
      </c>
      <c r="E31" s="17">
        <f t="shared" si="19"/>
        <v>0</v>
      </c>
      <c r="F31" s="15">
        <v>0.82142857142857095</v>
      </c>
      <c r="G31" s="16">
        <v>0.82142857142857095</v>
      </c>
      <c r="H31" s="16">
        <f t="shared" si="20"/>
        <v>0</v>
      </c>
      <c r="I31" s="17">
        <f t="shared" si="21"/>
        <v>0</v>
      </c>
      <c r="J31" s="76">
        <v>23</v>
      </c>
      <c r="K31" s="77">
        <v>23</v>
      </c>
      <c r="L31" s="77">
        <f t="shared" si="22"/>
        <v>0</v>
      </c>
      <c r="M31" s="50">
        <f t="shared" si="23"/>
        <v>0</v>
      </c>
      <c r="N31" s="61">
        <v>137351.812672734</v>
      </c>
      <c r="O31" s="62">
        <v>95555.977254287107</v>
      </c>
      <c r="P31" s="62">
        <f t="shared" si="24"/>
        <v>-41795.835418446892</v>
      </c>
      <c r="Q31" s="17">
        <f t="shared" si="25"/>
        <v>-0.30429766164086358</v>
      </c>
      <c r="R31" s="71">
        <v>1.4573695800745856E-3</v>
      </c>
      <c r="S31" s="72">
        <v>2.0415357087910646E-3</v>
      </c>
      <c r="T31" s="73">
        <f t="shared" si="26"/>
        <v>5.8416612871647899E-4</v>
      </c>
      <c r="U31" s="50">
        <f t="shared" si="27"/>
        <v>0.40083595589156074</v>
      </c>
      <c r="V31" s="15">
        <v>17912.924170168499</v>
      </c>
      <c r="W31" s="16">
        <v>17953.935655392801</v>
      </c>
      <c r="X31" s="16">
        <f t="shared" si="28"/>
        <v>41.011485224302305</v>
      </c>
      <c r="Y31" s="17">
        <f t="shared" si="29"/>
        <v>2.2894913658263161E-3</v>
      </c>
      <c r="Z31" s="15">
        <v>1.39584635053531</v>
      </c>
      <c r="AA31" s="16">
        <v>1.5199975263327701</v>
      </c>
      <c r="AB31" s="16">
        <f t="shared" si="30"/>
        <v>0.12415117579746004</v>
      </c>
      <c r="AC31" s="17">
        <f t="shared" si="31"/>
        <v>8.8943296480911246E-2</v>
      </c>
      <c r="AD31" s="15">
        <v>23.049999999499999</v>
      </c>
      <c r="AE31" s="16">
        <v>23.464285713750002</v>
      </c>
      <c r="AF31" s="16">
        <f t="shared" si="32"/>
        <v>0.41428571425000271</v>
      </c>
      <c r="AG31" s="17">
        <f t="shared" si="33"/>
        <v>1.7973349859392165E-2</v>
      </c>
      <c r="AH31" s="15">
        <v>23.049999999499999</v>
      </c>
      <c r="AI31" s="16">
        <v>23.464285713750002</v>
      </c>
      <c r="AJ31" s="16">
        <f t="shared" si="34"/>
        <v>0.41428571425000271</v>
      </c>
      <c r="AK31" s="17">
        <f t="shared" si="35"/>
        <v>1.7973349859392165E-2</v>
      </c>
    </row>
    <row r="32" spans="1:37" x14ac:dyDescent="0.3">
      <c r="A32" s="1" t="s">
        <v>5</v>
      </c>
      <c r="B32" s="23">
        <v>35</v>
      </c>
      <c r="C32" s="24">
        <v>35</v>
      </c>
      <c r="D32" s="24">
        <f t="shared" si="18"/>
        <v>0</v>
      </c>
      <c r="E32" s="17">
        <f t="shared" si="19"/>
        <v>0</v>
      </c>
      <c r="F32" s="15">
        <v>0.77142857142857102</v>
      </c>
      <c r="G32" s="16">
        <v>0.82857142857142796</v>
      </c>
      <c r="H32" s="16">
        <f t="shared" si="20"/>
        <v>5.714285714285694E-2</v>
      </c>
      <c r="I32" s="17">
        <f t="shared" si="21"/>
        <v>7.4074074074073848E-2</v>
      </c>
      <c r="J32" s="76">
        <v>27</v>
      </c>
      <c r="K32" s="77">
        <v>29</v>
      </c>
      <c r="L32" s="77">
        <f t="shared" si="22"/>
        <v>2</v>
      </c>
      <c r="M32" s="50">
        <f t="shared" si="23"/>
        <v>7.407407407407407E-2</v>
      </c>
      <c r="N32" s="61">
        <v>137351.812672734</v>
      </c>
      <c r="O32" s="62">
        <v>95555.977254287107</v>
      </c>
      <c r="P32" s="62">
        <f t="shared" si="24"/>
        <v>-41795.835418446892</v>
      </c>
      <c r="Q32" s="17">
        <f t="shared" si="25"/>
        <v>-0.30429766164086358</v>
      </c>
      <c r="R32" s="71">
        <v>-8.6271870425669306E-4</v>
      </c>
      <c r="S32" s="72">
        <v>-2.6609685498798497E-3</v>
      </c>
      <c r="T32" s="73">
        <f t="shared" si="26"/>
        <v>-1.7982498456231566E-3</v>
      </c>
      <c r="U32" s="50">
        <f t="shared" si="27"/>
        <v>-2.0843988159182252</v>
      </c>
      <c r="V32" s="15">
        <v>18046.4611879769</v>
      </c>
      <c r="W32" s="16">
        <v>17953.935655392801</v>
      </c>
      <c r="X32" s="16">
        <f t="shared" si="28"/>
        <v>-92.525532584098983</v>
      </c>
      <c r="Y32" s="17">
        <f t="shared" si="29"/>
        <v>-5.127073481073525E-3</v>
      </c>
      <c r="Z32" s="15">
        <v>1.38746746951974</v>
      </c>
      <c r="AA32" s="16">
        <v>1.5098330830384401</v>
      </c>
      <c r="AB32" s="16">
        <f t="shared" si="30"/>
        <v>0.12236561351870012</v>
      </c>
      <c r="AC32" s="17">
        <f t="shared" si="31"/>
        <v>8.8193500897758653E-2</v>
      </c>
      <c r="AD32" s="15">
        <v>21.428571428000001</v>
      </c>
      <c r="AE32" s="16">
        <v>21.879999999599999</v>
      </c>
      <c r="AF32" s="16">
        <f t="shared" si="32"/>
        <v>0.4514285715999975</v>
      </c>
      <c r="AG32" s="17">
        <f t="shared" si="33"/>
        <v>2.1066666675228326E-2</v>
      </c>
      <c r="AH32" s="15">
        <v>21.428571428000001</v>
      </c>
      <c r="AI32" s="16">
        <v>21.879999999599999</v>
      </c>
      <c r="AJ32" s="16">
        <f t="shared" si="34"/>
        <v>0.4514285715999975</v>
      </c>
      <c r="AK32" s="17">
        <f t="shared" si="35"/>
        <v>2.1066666675228326E-2</v>
      </c>
    </row>
    <row r="33" spans="1:37" x14ac:dyDescent="0.3">
      <c r="A33" s="1" t="s">
        <v>6</v>
      </c>
      <c r="B33" s="23">
        <v>28</v>
      </c>
      <c r="C33" s="24">
        <v>28</v>
      </c>
      <c r="D33" s="24">
        <f t="shared" si="18"/>
        <v>0</v>
      </c>
      <c r="E33" s="17">
        <f t="shared" si="19"/>
        <v>0</v>
      </c>
      <c r="F33" s="15">
        <v>0.82142857142857095</v>
      </c>
      <c r="G33" s="16">
        <v>0.82142857142857095</v>
      </c>
      <c r="H33" s="16">
        <f t="shared" si="20"/>
        <v>0</v>
      </c>
      <c r="I33" s="17">
        <f t="shared" si="21"/>
        <v>0</v>
      </c>
      <c r="J33" s="76">
        <v>23</v>
      </c>
      <c r="K33" s="77">
        <v>23</v>
      </c>
      <c r="L33" s="77">
        <f t="shared" si="22"/>
        <v>0</v>
      </c>
      <c r="M33" s="50">
        <f t="shared" si="23"/>
        <v>0</v>
      </c>
      <c r="N33" s="61">
        <v>137555.178628714</v>
      </c>
      <c r="O33" s="62">
        <v>103618.699720695</v>
      </c>
      <c r="P33" s="62">
        <f t="shared" si="24"/>
        <v>-33936.478908018995</v>
      </c>
      <c r="Q33" s="17">
        <f t="shared" si="25"/>
        <v>-0.24671175048683275</v>
      </c>
      <c r="R33" s="71">
        <v>2.0333670329302223E-3</v>
      </c>
      <c r="S33" s="72">
        <v>4.6268839734426859E-3</v>
      </c>
      <c r="T33" s="73">
        <f t="shared" si="26"/>
        <v>2.5935169405124636E-3</v>
      </c>
      <c r="U33" s="50">
        <f t="shared" si="27"/>
        <v>1.2754789954349888</v>
      </c>
      <c r="V33" s="15">
        <v>18091.616966349298</v>
      </c>
      <c r="W33" s="16">
        <v>17953.935655392801</v>
      </c>
      <c r="X33" s="16">
        <f t="shared" si="28"/>
        <v>-137.68131095649733</v>
      </c>
      <c r="Y33" s="17">
        <f t="shared" si="29"/>
        <v>-7.6102269472422945E-3</v>
      </c>
      <c r="Z33" s="15">
        <v>1.3667796391270399</v>
      </c>
      <c r="AA33" s="16">
        <v>1.4805651829926501</v>
      </c>
      <c r="AB33" s="16">
        <f t="shared" si="30"/>
        <v>0.11378554386561013</v>
      </c>
      <c r="AC33" s="17">
        <f t="shared" si="31"/>
        <v>8.3250833278643799E-2</v>
      </c>
      <c r="AD33" s="15">
        <v>20.817857142499999</v>
      </c>
      <c r="AE33" s="16">
        <v>20.814285713749999</v>
      </c>
      <c r="AF33" s="16">
        <f t="shared" si="32"/>
        <v>-3.5714287499999386E-3</v>
      </c>
      <c r="AG33" s="17">
        <f t="shared" si="33"/>
        <v>-1.7155602161899786E-4</v>
      </c>
      <c r="AH33" s="15">
        <v>20.817857142499999</v>
      </c>
      <c r="AI33" s="16">
        <v>20.814285713749999</v>
      </c>
      <c r="AJ33" s="16">
        <f t="shared" si="34"/>
        <v>-3.5714287499999386E-3</v>
      </c>
      <c r="AK33" s="17">
        <f t="shared" si="35"/>
        <v>-1.7155602161899786E-4</v>
      </c>
    </row>
    <row r="34" spans="1:37" x14ac:dyDescent="0.3">
      <c r="A34" s="1" t="s">
        <v>7</v>
      </c>
      <c r="B34" s="23">
        <v>28</v>
      </c>
      <c r="C34" s="24">
        <v>28</v>
      </c>
      <c r="D34" s="24">
        <f t="shared" si="18"/>
        <v>0</v>
      </c>
      <c r="E34" s="17">
        <f t="shared" si="19"/>
        <v>0</v>
      </c>
      <c r="F34" s="15">
        <v>0.78571428571428503</v>
      </c>
      <c r="G34" s="16">
        <v>0.78571428571428503</v>
      </c>
      <c r="H34" s="16">
        <f t="shared" si="20"/>
        <v>0</v>
      </c>
      <c r="I34" s="17">
        <f t="shared" si="21"/>
        <v>0</v>
      </c>
      <c r="J34" s="76">
        <v>22</v>
      </c>
      <c r="K34" s="77">
        <v>22</v>
      </c>
      <c r="L34" s="77">
        <f t="shared" si="22"/>
        <v>0</v>
      </c>
      <c r="M34" s="50">
        <f t="shared" si="23"/>
        <v>0</v>
      </c>
      <c r="N34" s="61">
        <v>138165.27649665301</v>
      </c>
      <c r="O34" s="62">
        <v>127806.867119918</v>
      </c>
      <c r="P34" s="62">
        <f t="shared" si="24"/>
        <v>-10358.409376735013</v>
      </c>
      <c r="Q34" s="17">
        <f t="shared" si="25"/>
        <v>-7.4971147884511646E-2</v>
      </c>
      <c r="R34" s="71">
        <v>6.0977273658324727E-4</v>
      </c>
      <c r="S34" s="72">
        <v>-1.102389651978064E-3</v>
      </c>
      <c r="T34" s="73">
        <f t="shared" si="26"/>
        <v>-1.7121623885613113E-3</v>
      </c>
      <c r="U34" s="50">
        <f t="shared" si="27"/>
        <v>-2.8078696961020393</v>
      </c>
      <c r="V34" s="15">
        <v>18164.553861420602</v>
      </c>
      <c r="W34" s="16">
        <v>17953.935655392801</v>
      </c>
      <c r="X34" s="16">
        <f t="shared" si="28"/>
        <v>-210.61820602780062</v>
      </c>
      <c r="Y34" s="17">
        <f t="shared" si="29"/>
        <v>-1.159501123091876E-2</v>
      </c>
      <c r="Z34" s="15">
        <v>1.3763205380563199</v>
      </c>
      <c r="AA34" s="16">
        <v>1.4492673484409999</v>
      </c>
      <c r="AB34" s="16">
        <f t="shared" si="30"/>
        <v>7.2946810384679983E-2</v>
      </c>
      <c r="AC34" s="17">
        <f t="shared" si="31"/>
        <v>5.300132372339484E-2</v>
      </c>
      <c r="AD34" s="15">
        <v>20.821428570750001</v>
      </c>
      <c r="AE34" s="16">
        <v>21.085714285249999</v>
      </c>
      <c r="AF34" s="16">
        <f t="shared" si="32"/>
        <v>0.26428571449999794</v>
      </c>
      <c r="AG34" s="17">
        <f t="shared" si="33"/>
        <v>1.2692967420653702E-2</v>
      </c>
      <c r="AH34" s="15">
        <v>20.821428570750001</v>
      </c>
      <c r="AI34" s="16">
        <v>21.085714285249999</v>
      </c>
      <c r="AJ34" s="16">
        <f t="shared" si="34"/>
        <v>0.26428571449999794</v>
      </c>
      <c r="AK34" s="17">
        <f t="shared" si="35"/>
        <v>1.2692967420653702E-2</v>
      </c>
    </row>
    <row r="35" spans="1:37" x14ac:dyDescent="0.3">
      <c r="A35" s="1" t="s">
        <v>8</v>
      </c>
      <c r="B35" s="23">
        <v>35</v>
      </c>
      <c r="C35" s="24">
        <v>35</v>
      </c>
      <c r="D35" s="24">
        <f t="shared" si="18"/>
        <v>0</v>
      </c>
      <c r="E35" s="17">
        <f t="shared" si="19"/>
        <v>0</v>
      </c>
      <c r="F35" s="15">
        <v>0.82857142857142796</v>
      </c>
      <c r="G35" s="16">
        <v>0.85714285714285698</v>
      </c>
      <c r="H35" s="16">
        <f t="shared" si="20"/>
        <v>2.8571428571429025E-2</v>
      </c>
      <c r="I35" s="17">
        <f t="shared" si="21"/>
        <v>3.4482758620690231E-2</v>
      </c>
      <c r="J35" s="76">
        <v>29</v>
      </c>
      <c r="K35" s="77">
        <v>30</v>
      </c>
      <c r="L35" s="77">
        <f t="shared" si="22"/>
        <v>1</v>
      </c>
      <c r="M35" s="50">
        <f t="shared" si="23"/>
        <v>3.4482758620689655E-2</v>
      </c>
      <c r="N35" s="61">
        <v>138165.27649665301</v>
      </c>
      <c r="O35" s="62">
        <v>127806.867119918</v>
      </c>
      <c r="P35" s="62">
        <f t="shared" si="24"/>
        <v>-10358.409376735013</v>
      </c>
      <c r="Q35" s="17">
        <f t="shared" si="25"/>
        <v>-7.4971147884511646E-2</v>
      </c>
      <c r="R35" s="71">
        <v>6.3829985801344691E-5</v>
      </c>
      <c r="S35" s="72">
        <v>1.3635397135463023E-3</v>
      </c>
      <c r="T35" s="73">
        <f t="shared" si="26"/>
        <v>1.2997097277449576E-3</v>
      </c>
      <c r="U35" s="50">
        <f t="shared" si="27"/>
        <v>20.362055723934954</v>
      </c>
      <c r="V35" s="15">
        <v>18098.691543034402</v>
      </c>
      <c r="W35" s="16">
        <v>17953.935655392801</v>
      </c>
      <c r="X35" s="16">
        <f t="shared" si="28"/>
        <v>-144.75588764160057</v>
      </c>
      <c r="Y35" s="17">
        <f t="shared" si="29"/>
        <v>-7.9981410422629365E-3</v>
      </c>
      <c r="Z35" s="15">
        <v>1.3868574046236299</v>
      </c>
      <c r="AA35" s="16">
        <v>1.4366207153664201</v>
      </c>
      <c r="AB35" s="16">
        <f t="shared" si="30"/>
        <v>4.9763310742790168E-2</v>
      </c>
      <c r="AC35" s="17">
        <f t="shared" si="31"/>
        <v>3.5882067310514236E-2</v>
      </c>
      <c r="AD35" s="15">
        <v>21.382857142599999</v>
      </c>
      <c r="AE35" s="16">
        <v>21.811428571</v>
      </c>
      <c r="AF35" s="16">
        <f t="shared" si="32"/>
        <v>0.42857142840000151</v>
      </c>
      <c r="AG35" s="17">
        <f t="shared" si="33"/>
        <v>2.0042757875708764E-2</v>
      </c>
      <c r="AH35" s="15">
        <v>21.382857142599999</v>
      </c>
      <c r="AI35" s="16">
        <v>21.811428571</v>
      </c>
      <c r="AJ35" s="16">
        <f t="shared" si="34"/>
        <v>0.42857142840000151</v>
      </c>
      <c r="AK35" s="17">
        <f t="shared" si="35"/>
        <v>2.0042757875708764E-2</v>
      </c>
    </row>
    <row r="36" spans="1:37" x14ac:dyDescent="0.3">
      <c r="A36" s="1" t="s">
        <v>9</v>
      </c>
      <c r="B36" s="23">
        <v>28</v>
      </c>
      <c r="C36" s="24">
        <v>28</v>
      </c>
      <c r="D36" s="24">
        <f t="shared" si="18"/>
        <v>0</v>
      </c>
      <c r="E36" s="17">
        <f t="shared" si="19"/>
        <v>0</v>
      </c>
      <c r="F36" s="15">
        <v>0.82142857142857095</v>
      </c>
      <c r="G36" s="16">
        <v>0.82142857142857095</v>
      </c>
      <c r="H36" s="16">
        <f t="shared" si="20"/>
        <v>0</v>
      </c>
      <c r="I36" s="17">
        <f t="shared" si="21"/>
        <v>0</v>
      </c>
      <c r="J36" s="76">
        <v>23</v>
      </c>
      <c r="K36" s="77">
        <v>23</v>
      </c>
      <c r="L36" s="77">
        <f t="shared" si="22"/>
        <v>0</v>
      </c>
      <c r="M36" s="50">
        <f t="shared" si="23"/>
        <v>0</v>
      </c>
      <c r="N36" s="61">
        <v>139548.58941269101</v>
      </c>
      <c r="O36" s="62">
        <v>130005.269076521</v>
      </c>
      <c r="P36" s="62">
        <f t="shared" si="24"/>
        <v>-9543.3203361700143</v>
      </c>
      <c r="Q36" s="17">
        <f t="shared" si="25"/>
        <v>-6.8387078481655456E-2</v>
      </c>
      <c r="R36" s="71">
        <v>1.1072543094827747E-3</v>
      </c>
      <c r="S36" s="72">
        <v>-1.5312042952073668E-3</v>
      </c>
      <c r="T36" s="73">
        <f t="shared" si="26"/>
        <v>-2.6384586046901415E-3</v>
      </c>
      <c r="U36" s="50">
        <f t="shared" si="27"/>
        <v>-2.3828840241070086</v>
      </c>
      <c r="V36" s="15">
        <v>17109.248180913299</v>
      </c>
      <c r="W36" s="16">
        <v>17953.935655392801</v>
      </c>
      <c r="X36" s="16">
        <f t="shared" si="28"/>
        <v>844.68747447950227</v>
      </c>
      <c r="Y36" s="17">
        <f t="shared" si="29"/>
        <v>4.9370227466909798E-2</v>
      </c>
      <c r="Z36" s="15">
        <v>1.3974392197852099</v>
      </c>
      <c r="AA36" s="16">
        <v>1.4380522972029199</v>
      </c>
      <c r="AB36" s="16">
        <f t="shared" si="30"/>
        <v>4.0613077417710031E-2</v>
      </c>
      <c r="AC36" s="17">
        <f t="shared" si="31"/>
        <v>2.9062500066337316E-2</v>
      </c>
      <c r="AD36" s="15">
        <v>21.535714285249998</v>
      </c>
      <c r="AE36" s="16">
        <v>22.842857142250001</v>
      </c>
      <c r="AF36" s="16">
        <f t="shared" si="32"/>
        <v>1.3071428570000023</v>
      </c>
      <c r="AG36" s="17">
        <f t="shared" si="33"/>
        <v>6.0696517407610485E-2</v>
      </c>
      <c r="AH36" s="15">
        <v>21.535714285249998</v>
      </c>
      <c r="AI36" s="16">
        <v>22.842857142250001</v>
      </c>
      <c r="AJ36" s="16">
        <f t="shared" si="34"/>
        <v>1.3071428570000023</v>
      </c>
      <c r="AK36" s="17">
        <f t="shared" si="35"/>
        <v>6.0696517407610485E-2</v>
      </c>
    </row>
    <row r="37" spans="1:37" x14ac:dyDescent="0.3">
      <c r="A37" s="1" t="s">
        <v>10</v>
      </c>
      <c r="B37" s="23">
        <v>28</v>
      </c>
      <c r="C37" s="24">
        <v>28</v>
      </c>
      <c r="D37" s="24">
        <f t="shared" si="18"/>
        <v>0</v>
      </c>
      <c r="E37" s="80">
        <f t="shared" si="19"/>
        <v>0</v>
      </c>
      <c r="F37" s="15">
        <v>0.78571428571428503</v>
      </c>
      <c r="G37" s="16">
        <v>0.85714285714285698</v>
      </c>
      <c r="H37" s="16">
        <f t="shared" si="20"/>
        <v>7.1428571428571952E-2</v>
      </c>
      <c r="I37" s="80">
        <f t="shared" si="21"/>
        <v>9.0909090909091661E-2</v>
      </c>
      <c r="J37" s="76">
        <v>22</v>
      </c>
      <c r="K37" s="77">
        <v>24</v>
      </c>
      <c r="L37" s="77">
        <f t="shared" si="22"/>
        <v>2</v>
      </c>
      <c r="M37" s="50">
        <f t="shared" si="23"/>
        <v>9.0909090909090912E-2</v>
      </c>
      <c r="N37" s="61">
        <v>143698.528160805</v>
      </c>
      <c r="O37" s="62">
        <v>136600.47494633199</v>
      </c>
      <c r="P37" s="62">
        <f t="shared" si="24"/>
        <v>-7098.0532144730096</v>
      </c>
      <c r="Q37" s="80">
        <f t="shared" si="25"/>
        <v>-4.9395448271606336E-2</v>
      </c>
      <c r="R37" s="71">
        <v>1.0891023252674881E-3</v>
      </c>
      <c r="S37" s="72">
        <v>3.4300721437241499E-4</v>
      </c>
      <c r="T37" s="73">
        <f t="shared" si="26"/>
        <v>-7.4609511089507308E-4</v>
      </c>
      <c r="U37" s="50">
        <f t="shared" si="27"/>
        <v>-0.6850551078493281</v>
      </c>
      <c r="V37" s="15">
        <v>17947.004919494699</v>
      </c>
      <c r="W37" s="16">
        <v>17953.935655392801</v>
      </c>
      <c r="X37" s="16">
        <f t="shared" si="28"/>
        <v>6.9307358981022844</v>
      </c>
      <c r="Y37" s="80">
        <f t="shared" si="29"/>
        <v>3.8617785692886638E-4</v>
      </c>
      <c r="Z37" s="15">
        <v>1.38721064023739</v>
      </c>
      <c r="AA37" s="16">
        <v>1.4380522972029199</v>
      </c>
      <c r="AB37" s="16">
        <f t="shared" si="30"/>
        <v>5.0841656965529891E-2</v>
      </c>
      <c r="AC37" s="80">
        <f t="shared" si="31"/>
        <v>3.6650278977696911E-2</v>
      </c>
      <c r="AD37" s="15">
        <v>22.449999999749998</v>
      </c>
      <c r="AE37" s="16">
        <v>23.099999999750001</v>
      </c>
      <c r="AF37" s="16">
        <f t="shared" si="32"/>
        <v>0.65000000000000213</v>
      </c>
      <c r="AG37" s="80">
        <f t="shared" si="33"/>
        <v>2.8953229398986213E-2</v>
      </c>
      <c r="AH37" s="15">
        <v>22.449999999749998</v>
      </c>
      <c r="AI37" s="16">
        <v>23.099999999750001</v>
      </c>
      <c r="AJ37" s="16">
        <f t="shared" si="34"/>
        <v>0.65000000000000213</v>
      </c>
      <c r="AK37" s="80">
        <f t="shared" si="35"/>
        <v>2.8953229398986213E-2</v>
      </c>
    </row>
    <row r="38" spans="1:37" ht="15" thickBot="1" x14ac:dyDescent="0.35">
      <c r="A38" s="4" t="s">
        <v>11</v>
      </c>
      <c r="B38" s="25">
        <v>39</v>
      </c>
      <c r="C38" s="26">
        <v>41</v>
      </c>
      <c r="D38" s="26">
        <f t="shared" si="18"/>
        <v>2</v>
      </c>
      <c r="E38" s="20">
        <f t="shared" si="19"/>
        <v>5.128205128205128E-2</v>
      </c>
      <c r="F38" s="18">
        <v>0.87792207792207799</v>
      </c>
      <c r="G38" s="19">
        <v>0.81098901098901099</v>
      </c>
      <c r="H38" s="19">
        <f t="shared" si="20"/>
        <v>-6.6933066933066998E-2</v>
      </c>
      <c r="I38" s="20">
        <f t="shared" si="21"/>
        <v>-7.6240327719617723E-2</v>
      </c>
      <c r="J38" s="78">
        <v>34</v>
      </c>
      <c r="K38" s="79">
        <v>33</v>
      </c>
      <c r="L38" s="79">
        <f t="shared" si="22"/>
        <v>-1</v>
      </c>
      <c r="M38" s="54">
        <f t="shared" si="23"/>
        <v>-2.9411764705882353E-2</v>
      </c>
      <c r="N38" s="63">
        <v>143698.528160805</v>
      </c>
      <c r="O38" s="64">
        <v>136600.47494633199</v>
      </c>
      <c r="P38" s="64">
        <f t="shared" si="24"/>
        <v>-7098.0532144730096</v>
      </c>
      <c r="Q38" s="20">
        <f t="shared" si="25"/>
        <v>-4.9395448271606336E-2</v>
      </c>
      <c r="R38" s="74">
        <v>2.1452116115669995E-3</v>
      </c>
      <c r="S38" s="75">
        <v>2.3869702526542191E-3</v>
      </c>
      <c r="T38" s="59">
        <f t="shared" si="26"/>
        <v>2.4175864108721967E-4</v>
      </c>
      <c r="U38" s="54">
        <f t="shared" si="27"/>
        <v>0.11269687325187641</v>
      </c>
      <c r="V38" s="18">
        <v>17509.542033546801</v>
      </c>
      <c r="W38" s="19">
        <v>18043.705333669801</v>
      </c>
      <c r="X38" s="19">
        <f t="shared" si="28"/>
        <v>534.16330012300023</v>
      </c>
      <c r="Y38" s="20">
        <f t="shared" si="29"/>
        <v>3.0506982941049431E-2</v>
      </c>
      <c r="Z38" s="18">
        <v>1.37804573988377</v>
      </c>
      <c r="AA38" s="19">
        <v>1.4380522972029199</v>
      </c>
      <c r="AB38" s="19">
        <f t="shared" si="30"/>
        <v>6.0006557319149945E-2</v>
      </c>
      <c r="AC38" s="20">
        <f t="shared" si="31"/>
        <v>4.3544677496852278E-2</v>
      </c>
      <c r="AD38" s="18">
        <v>23.643376623000002</v>
      </c>
      <c r="AE38" s="19">
        <v>23.842637362200001</v>
      </c>
      <c r="AF38" s="19">
        <f t="shared" si="32"/>
        <v>0.19926073919999965</v>
      </c>
      <c r="AG38" s="20">
        <f t="shared" si="33"/>
        <v>8.4277614985907353E-3</v>
      </c>
      <c r="AH38" s="18">
        <v>23.643376623000002</v>
      </c>
      <c r="AI38" s="19">
        <v>23.842637362200001</v>
      </c>
      <c r="AJ38" s="19">
        <f t="shared" si="34"/>
        <v>0.19926073919999965</v>
      </c>
      <c r="AK38" s="20">
        <f t="shared" si="35"/>
        <v>8.4277614985907353E-3</v>
      </c>
    </row>
    <row r="39" spans="1:37" ht="15" thickBot="1" x14ac:dyDescent="0.35">
      <c r="A39" s="4" t="s">
        <v>15</v>
      </c>
      <c r="B39" s="25">
        <f>SUM(B27:B38)</f>
        <v>365</v>
      </c>
      <c r="C39" s="26">
        <f>SUM(C27:C38)</f>
        <v>366</v>
      </c>
      <c r="D39" s="26">
        <f>C39-B39</f>
        <v>1</v>
      </c>
      <c r="E39" s="83">
        <f>(C39-B39)/B39</f>
        <v>2.7397260273972603E-3</v>
      </c>
      <c r="F39" s="18">
        <f>(4*SUM(F27:F28,F30:F31,F33:F34,F36:F37)+5*SUM(F29,F32,F35,F38))/52</f>
        <v>0.8241133866133864</v>
      </c>
      <c r="G39" s="19">
        <f>(4*SUM(G27:G28,G30:G31,G33:G34,G36:G37)+5*SUM(G29,G32,G35,G38))/52</f>
        <v>0.82981121442659878</v>
      </c>
      <c r="H39" s="19">
        <f>G39-F39</f>
        <v>5.697827813212375E-3</v>
      </c>
      <c r="I39" s="83">
        <f>(G39-F39)/F39</f>
        <v>6.9138881927728931E-3</v>
      </c>
      <c r="J39" s="78">
        <f>SUM(J27:J38)</f>
        <v>301</v>
      </c>
      <c r="K39" s="79">
        <f>SUM(K27:K38)</f>
        <v>304</v>
      </c>
      <c r="L39" s="79">
        <f t="shared" ref="L39" si="36">K39-J39</f>
        <v>3</v>
      </c>
      <c r="M39" s="92">
        <f t="shared" ref="M39" si="37">IFERROR((K39-J39)/ABS(J39),0)</f>
        <v>9.9667774086378731E-3</v>
      </c>
      <c r="N39" s="63">
        <f>(4*SUM(N27:N28,N30:N31,N33:N34,N36:N37)+5*SUM(N29,N32,N35,N38))/52</f>
        <v>136514.77698835201</v>
      </c>
      <c r="O39" s="64">
        <f>(4*SUM(O27:O28,O30:O31,O33:O34,O36:O37)+5*SUM(O29,O32,O35,O38))/52</f>
        <v>121178.17372861106</v>
      </c>
      <c r="P39" s="64">
        <f>O39-N39</f>
        <v>-15336.60325974095</v>
      </c>
      <c r="Q39" s="83">
        <f>(O39-N39)/N39</f>
        <v>-0.11234390589854995</v>
      </c>
      <c r="R39" s="57">
        <f>PRODUCT((1+R27),(1+R28),(1+R29),(1+R30),(1+R31),(1+R32),(1+R33),(1+R34),(1+R35),(1+R36),(1+R37),(1+R38))-1</f>
        <v>1.900091579162444E-2</v>
      </c>
      <c r="S39" s="58">
        <f>PRODUCT((1+S27),(1+S28),(1+S29),(1+S30),(1+S31),(1+S32),(1+S33),(1+S34),(1+S35),(1+S36),(1+S37),(1+S38))-1</f>
        <v>1.5000000000000124E-2</v>
      </c>
      <c r="T39" s="59">
        <f>S39-R39</f>
        <v>-4.0009157916243154E-3</v>
      </c>
      <c r="U39" s="54">
        <f>(S39-R39)/ABS(R39)</f>
        <v>-0.21056436623901623</v>
      </c>
      <c r="V39" s="18">
        <f>(4*SUM(V27:V28,V30:V31,V33:V34,V36:V37)+5*SUM(V29,V32,V35,V38))/52</f>
        <v>17487.247318451842</v>
      </c>
      <c r="W39" s="19">
        <f>(4*SUM(W27:W28,W30:W31,W33:W34,W36:W37)+5*SUM(W29,W32,W35,W38))/52</f>
        <v>18018.539343533881</v>
      </c>
      <c r="X39" s="19">
        <f>W39-V39</f>
        <v>531.29202508203889</v>
      </c>
      <c r="Y39" s="84">
        <f>(W39-V39)/V39</f>
        <v>3.0381684172868125E-2</v>
      </c>
      <c r="Z39" s="18">
        <f>(4*SUM(Z27:Z28,Z30:Z31,Z33:Z34,Z36:Z37)+5*SUM(Z29,Z32,Z35,Z38))/52</f>
        <v>1.3694927653345035</v>
      </c>
      <c r="AA39" s="19">
        <f>(4*SUM(AA27:AA28,AA30:AA31,AA33:AA34,AA36:AA37)+5*SUM(AA29,AA32,AA35,AA38))/52</f>
        <v>1.4529494913369148</v>
      </c>
      <c r="AB39" s="19">
        <f>AA39-Z39</f>
        <v>8.3456726002411274E-2</v>
      </c>
      <c r="AC39" s="83">
        <f>(AA39-Z39)/Z39</f>
        <v>6.0939880892343867E-2</v>
      </c>
      <c r="AD39" s="18">
        <f>(4*SUM(AD27:AD28,AD30:AD31,AD33:AD34,AD36:AD37)+5*SUM(AD29,AD32,AD35,AD38))/52</f>
        <v>22.925118630961546</v>
      </c>
      <c r="AE39" s="19">
        <f>(4*SUM(AE27:AE28,AE30:AE31,AE33:AE34,AE36:AE37)+5*SUM(AE29,AE32,AE35,AE38))/52</f>
        <v>23.302176669076921</v>
      </c>
      <c r="AF39" s="19">
        <f>AE39-AD39</f>
        <v>0.37705803811537564</v>
      </c>
      <c r="AG39" s="83">
        <f>(AE39-AD39)/AD39</f>
        <v>1.6447375657465058E-2</v>
      </c>
      <c r="AH39" s="18">
        <f>(4*SUM(AH27:AH28,AH30:AH31,AH33:AH34,AH36:AH37)+5*SUM(AH29,AH32,AH35,AH38))/52</f>
        <v>22.925118630961546</v>
      </c>
      <c r="AI39" s="19">
        <f>(4*SUM(AI27:AI28,AI30:AI31,AI33:AI34,AI36:AI37)+5*SUM(AI29,AI32,AI35,AI38))/52</f>
        <v>23.302176669076921</v>
      </c>
      <c r="AJ39" s="19">
        <f>AI39-AH39</f>
        <v>0.37705803811537564</v>
      </c>
      <c r="AK39" s="83">
        <f>(AI39-AH39)/AH39</f>
        <v>1.6447375657465058E-2</v>
      </c>
    </row>
  </sheetData>
  <mergeCells count="41">
    <mergeCell ref="AH1:AK5"/>
    <mergeCell ref="AH7:AK7"/>
    <mergeCell ref="AH8:AK8"/>
    <mergeCell ref="AH24:AK24"/>
    <mergeCell ref="AH25:AK25"/>
    <mergeCell ref="J1:M5"/>
    <mergeCell ref="J8:M8"/>
    <mergeCell ref="J25:M25"/>
    <mergeCell ref="B24:M24"/>
    <mergeCell ref="B7:M7"/>
    <mergeCell ref="B1:E5"/>
    <mergeCell ref="B8:E8"/>
    <mergeCell ref="B25:E25"/>
    <mergeCell ref="F1:I5"/>
    <mergeCell ref="F8:I8"/>
    <mergeCell ref="F25:I25"/>
    <mergeCell ref="Z1:AC5"/>
    <mergeCell ref="AD1:AG5"/>
    <mergeCell ref="N7:Q7"/>
    <mergeCell ref="R7:U7"/>
    <mergeCell ref="V7:Y7"/>
    <mergeCell ref="Z7:AC7"/>
    <mergeCell ref="N1:Q5"/>
    <mergeCell ref="R1:U5"/>
    <mergeCell ref="V1:Y5"/>
    <mergeCell ref="AD7:AG7"/>
    <mergeCell ref="N8:Q8"/>
    <mergeCell ref="R8:U8"/>
    <mergeCell ref="V8:Y8"/>
    <mergeCell ref="Z8:AC8"/>
    <mergeCell ref="AD8:AG8"/>
    <mergeCell ref="AD24:AG24"/>
    <mergeCell ref="N24:Q24"/>
    <mergeCell ref="R24:U24"/>
    <mergeCell ref="V24:Y24"/>
    <mergeCell ref="Z24:AC24"/>
    <mergeCell ref="AD25:AG25"/>
    <mergeCell ref="Z25:AC25"/>
    <mergeCell ref="N25:Q25"/>
    <mergeCell ref="R25:U25"/>
    <mergeCell ref="V25:Y25"/>
  </mergeCells>
  <pageMargins left="0.7" right="0.7" top="0.75" bottom="0.75" header="0.3" footer="0.3"/>
  <pageSetup paperSize="9" orientation="portrait" horizontalDpi="300" verticalDpi="3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M37"/>
  <sheetViews>
    <sheetView showGridLines="0" workbookViewId="0">
      <selection activeCell="J5" sqref="J5"/>
    </sheetView>
  </sheetViews>
  <sheetFormatPr baseColWidth="10" defaultColWidth="9.109375" defaultRowHeight="14.4" outlineLevelRow="1" x14ac:dyDescent="0.3"/>
  <cols>
    <col min="1" max="1" width="17.44140625" bestFit="1" customWidth="1"/>
    <col min="2" max="2" width="12.5546875" bestFit="1" customWidth="1"/>
    <col min="3" max="3" width="11.33203125" bestFit="1" customWidth="1"/>
    <col min="4" max="5" width="12.33203125" bestFit="1" customWidth="1"/>
    <col min="6" max="6" width="16.5546875" customWidth="1"/>
    <col min="7" max="7" width="10.5546875" bestFit="1" customWidth="1"/>
    <col min="8" max="8" width="10.33203125" bestFit="1" customWidth="1"/>
    <col min="9" max="9" width="13.5546875" bestFit="1" customWidth="1"/>
    <col min="10" max="10" width="12.5546875" bestFit="1" customWidth="1"/>
    <col min="11" max="11" width="13.88671875" customWidth="1"/>
    <col min="13" max="13" width="41.44140625" customWidth="1"/>
  </cols>
  <sheetData>
    <row r="1" spans="1:13" ht="15" customHeight="1" x14ac:dyDescent="0.3">
      <c r="B1" s="328" t="s">
        <v>51</v>
      </c>
      <c r="C1" s="328"/>
      <c r="D1" s="328"/>
      <c r="E1" s="328"/>
      <c r="F1" s="328"/>
      <c r="G1" s="328"/>
      <c r="H1" s="328"/>
      <c r="I1" s="328"/>
      <c r="J1" s="328"/>
    </row>
    <row r="2" spans="1:13" ht="15" customHeight="1" x14ac:dyDescent="0.3">
      <c r="B2" s="328"/>
      <c r="C2" s="328"/>
      <c r="D2" s="328"/>
      <c r="E2" s="328"/>
      <c r="F2" s="328"/>
      <c r="G2" s="328"/>
      <c r="H2" s="328"/>
      <c r="I2" s="328"/>
      <c r="J2" s="328"/>
    </row>
    <row r="3" spans="1:13" s="250" customFormat="1" x14ac:dyDescent="0.3">
      <c r="A3" s="306" t="str">
        <f>'Andina DT'!A2:J2</f>
        <v>w47</v>
      </c>
      <c r="B3" s="306"/>
      <c r="C3" s="306"/>
      <c r="D3" s="306"/>
      <c r="E3" s="306"/>
      <c r="F3" s="306"/>
      <c r="G3" s="306"/>
      <c r="H3" s="306"/>
      <c r="I3" s="306"/>
      <c r="J3" s="306"/>
      <c r="K3" s="3"/>
      <c r="L3" s="3"/>
      <c r="M3" s="27"/>
    </row>
    <row r="4" spans="1:13" s="250" customFormat="1" ht="28.8" x14ac:dyDescent="0.3">
      <c r="A4" s="5" t="s">
        <v>34</v>
      </c>
      <c r="B4" s="5" t="s">
        <v>26</v>
      </c>
      <c r="C4" s="40" t="s">
        <v>21</v>
      </c>
      <c r="D4" s="40" t="s">
        <v>22</v>
      </c>
      <c r="E4" s="40" t="s">
        <v>23</v>
      </c>
      <c r="F4" s="40" t="s">
        <v>24</v>
      </c>
      <c r="G4" s="40" t="s">
        <v>25</v>
      </c>
      <c r="H4" s="40" t="s">
        <v>60</v>
      </c>
      <c r="I4" s="5" t="s">
        <v>62</v>
      </c>
      <c r="J4" s="5" t="s">
        <v>65</v>
      </c>
      <c r="K4" s="5" t="s">
        <v>53</v>
      </c>
      <c r="L4" s="3"/>
      <c r="M4" s="130" t="str">
        <f>"Comentarios "&amp;A3</f>
        <v>Comentarios w47</v>
      </c>
    </row>
    <row r="5" spans="1:13" s="250" customFormat="1" x14ac:dyDescent="0.3">
      <c r="A5" s="6" t="s">
        <v>0</v>
      </c>
      <c r="B5" s="7">
        <v>20129428.437658001</v>
      </c>
      <c r="C5" s="7">
        <v>-40817.151040500903</v>
      </c>
      <c r="D5" s="7">
        <v>23787.748145641101</v>
      </c>
      <c r="E5" s="7">
        <v>620501.44221636397</v>
      </c>
      <c r="F5" s="7">
        <v>-402584.21757558698</v>
      </c>
      <c r="G5" s="7">
        <v>532906.96882730303</v>
      </c>
      <c r="H5" s="7">
        <v>1</v>
      </c>
      <c r="I5" s="7">
        <v>-408441.94877704751</v>
      </c>
      <c r="J5" s="7">
        <f t="shared" ref="J5:J16" si="0">SUM(B5:I5)</f>
        <v>20454782.279454172</v>
      </c>
      <c r="K5" s="123">
        <f t="shared" ref="K5:K17" si="1">J5/B5-1</f>
        <v>1.6163093890311453E-2</v>
      </c>
      <c r="L5" s="175"/>
      <c r="M5" s="112"/>
    </row>
    <row r="6" spans="1:13" s="250" customFormat="1" x14ac:dyDescent="0.3">
      <c r="A6" s="6" t="s">
        <v>1</v>
      </c>
      <c r="B6" s="7">
        <v>26311162.376224</v>
      </c>
      <c r="C6" s="7">
        <v>556748.65893658996</v>
      </c>
      <c r="D6" s="7">
        <v>-319195.66493037198</v>
      </c>
      <c r="E6" s="7">
        <v>472169.23987802299</v>
      </c>
      <c r="F6" s="7">
        <v>-415100.19987387798</v>
      </c>
      <c r="G6" s="7">
        <v>-884173.54247573996</v>
      </c>
      <c r="H6" s="7">
        <v>1</v>
      </c>
      <c r="I6" s="7">
        <v>-158090.84665890501</v>
      </c>
      <c r="J6" s="7">
        <f t="shared" si="0"/>
        <v>25563521.021099713</v>
      </c>
      <c r="K6" s="124">
        <f t="shared" si="1"/>
        <v>-2.8415367760410759E-2</v>
      </c>
      <c r="L6" s="175"/>
      <c r="M6" s="112"/>
    </row>
    <row r="7" spans="1:13" s="250" customFormat="1" x14ac:dyDescent="0.3">
      <c r="A7" s="6" t="s">
        <v>2</v>
      </c>
      <c r="B7" s="7">
        <v>32058052.493577</v>
      </c>
      <c r="C7" s="7">
        <v>23168.302107150001</v>
      </c>
      <c r="D7" s="7">
        <v>-376833.98807443702</v>
      </c>
      <c r="E7" s="7">
        <v>-2215500.2615482402</v>
      </c>
      <c r="F7" s="7">
        <v>-221895.51452208299</v>
      </c>
      <c r="G7" s="7">
        <v>1168956.5293010499</v>
      </c>
      <c r="H7" s="7">
        <v>1</v>
      </c>
      <c r="I7" s="7">
        <v>-104441.3867022184</v>
      </c>
      <c r="J7" s="7">
        <f t="shared" si="0"/>
        <v>30331507.174138226</v>
      </c>
      <c r="K7" s="124">
        <f t="shared" si="1"/>
        <v>-5.3856837366670907E-2</v>
      </c>
      <c r="L7" s="175"/>
      <c r="M7" s="112"/>
    </row>
    <row r="8" spans="1:13" s="250" customFormat="1" ht="15" customHeight="1" x14ac:dyDescent="0.3">
      <c r="A8" s="6" t="s">
        <v>3</v>
      </c>
      <c r="B8" s="7">
        <v>21456523.052358001</v>
      </c>
      <c r="C8" s="7">
        <v>11626.199241972001</v>
      </c>
      <c r="D8" s="7">
        <v>-828266.83925241302</v>
      </c>
      <c r="E8" s="7">
        <v>-1375786.2265671752</v>
      </c>
      <c r="F8" s="7">
        <v>-94283.321747965296</v>
      </c>
      <c r="G8" s="7">
        <v>828370.46922388999</v>
      </c>
      <c r="H8" s="7">
        <v>1</v>
      </c>
      <c r="I8" s="7">
        <v>-347878.97797341261</v>
      </c>
      <c r="J8" s="7">
        <f t="shared" si="0"/>
        <v>19650305.355282899</v>
      </c>
      <c r="K8" s="124">
        <f t="shared" si="1"/>
        <v>-8.4180353576746247E-2</v>
      </c>
      <c r="L8" s="175"/>
      <c r="M8" s="317"/>
    </row>
    <row r="9" spans="1:13" s="250" customFormat="1" ht="15" customHeight="1" x14ac:dyDescent="0.3">
      <c r="A9" s="6" t="s">
        <v>4</v>
      </c>
      <c r="B9" s="7">
        <v>21212145.551192999</v>
      </c>
      <c r="C9" s="7">
        <v>332372.28243098001</v>
      </c>
      <c r="D9" s="7">
        <v>-2247402.9993101899</v>
      </c>
      <c r="E9" s="7">
        <v>-2142709.1868634159</v>
      </c>
      <c r="F9" s="7">
        <v>-301100.49316386</v>
      </c>
      <c r="G9" s="7">
        <v>660295.26168493996</v>
      </c>
      <c r="H9" s="7">
        <v>1</v>
      </c>
      <c r="I9" s="7">
        <v>-111055.05285089939</v>
      </c>
      <c r="J9" s="7">
        <f t="shared" si="0"/>
        <v>17402546.363120552</v>
      </c>
      <c r="K9" s="124">
        <f t="shared" si="1"/>
        <v>-0.17959518422492582</v>
      </c>
      <c r="L9" s="175"/>
      <c r="M9" s="317"/>
    </row>
    <row r="10" spans="1:13" s="250" customFormat="1" ht="15" customHeight="1" x14ac:dyDescent="0.3">
      <c r="A10" s="6" t="s">
        <v>5</v>
      </c>
      <c r="B10" s="7">
        <v>22870915.674423002</v>
      </c>
      <c r="C10" s="7">
        <v>-1073412.57573382</v>
      </c>
      <c r="D10" s="7">
        <v>-2427078.0525354301</v>
      </c>
      <c r="E10" s="7">
        <v>-2973426.3795348452</v>
      </c>
      <c r="F10" s="7">
        <v>-1193992.0951423701</v>
      </c>
      <c r="G10" s="7">
        <v>720212.57446076197</v>
      </c>
      <c r="H10" s="7">
        <v>1</v>
      </c>
      <c r="I10" s="7">
        <v>-240918.9567248128</v>
      </c>
      <c r="J10" s="7">
        <f t="shared" si="0"/>
        <v>15682301.189212488</v>
      </c>
      <c r="K10" s="124">
        <f t="shared" si="1"/>
        <v>-0.31431249135554651</v>
      </c>
      <c r="L10" s="175"/>
      <c r="M10" s="112"/>
    </row>
    <row r="11" spans="1:13" s="250" customFormat="1" ht="15" customHeight="1" x14ac:dyDescent="0.3">
      <c r="A11" s="6" t="s">
        <v>6</v>
      </c>
      <c r="B11" s="7">
        <v>17838398.199767001</v>
      </c>
      <c r="C11" s="7">
        <v>937874.86905668199</v>
      </c>
      <c r="D11" s="7">
        <v>-1488429.4641789901</v>
      </c>
      <c r="E11" s="7">
        <v>-540633.69909360004</v>
      </c>
      <c r="F11" s="7">
        <v>-124799.929370553</v>
      </c>
      <c r="G11" s="7">
        <v>68395.089820730995</v>
      </c>
      <c r="H11" s="7">
        <v>1</v>
      </c>
      <c r="I11" s="7">
        <v>-293158.25700200803</v>
      </c>
      <c r="J11" s="7">
        <f t="shared" si="0"/>
        <v>16397647.808999265</v>
      </c>
      <c r="K11" s="124">
        <f t="shared" si="1"/>
        <v>-8.0766802861624409E-2</v>
      </c>
      <c r="L11" s="175"/>
      <c r="M11" s="317"/>
    </row>
    <row r="12" spans="1:13" s="250" customFormat="1" x14ac:dyDescent="0.3">
      <c r="A12" s="6" t="s">
        <v>7</v>
      </c>
      <c r="B12" s="7">
        <v>18079380.530768</v>
      </c>
      <c r="C12" s="7">
        <v>160340.49435217999</v>
      </c>
      <c r="D12" s="7">
        <v>-617415.40079167602</v>
      </c>
      <c r="E12" s="7">
        <v>-272169.69069529406</v>
      </c>
      <c r="F12" s="7">
        <v>-152330.99904929599</v>
      </c>
      <c r="G12" s="7">
        <v>301642.38077860302</v>
      </c>
      <c r="H12" s="7">
        <v>1</v>
      </c>
      <c r="I12" s="7">
        <v>-96220.821522348808</v>
      </c>
      <c r="J12" s="7">
        <f t="shared" si="0"/>
        <v>17403227.493840173</v>
      </c>
      <c r="K12" s="124">
        <f t="shared" si="1"/>
        <v>-3.7399126357074541E-2</v>
      </c>
      <c r="L12" s="175"/>
      <c r="M12" s="317"/>
    </row>
    <row r="13" spans="1:13" s="250" customFormat="1" x14ac:dyDescent="0.3">
      <c r="A13" s="6" t="s">
        <v>8</v>
      </c>
      <c r="B13" s="7">
        <v>23764393.965071999</v>
      </c>
      <c r="C13" s="7">
        <v>281159.09814710298</v>
      </c>
      <c r="D13" s="7">
        <v>-816782.85692267399</v>
      </c>
      <c r="E13" s="7">
        <v>-616013.91039235564</v>
      </c>
      <c r="F13" s="7">
        <v>-65941.000900642</v>
      </c>
      <c r="G13" s="7">
        <v>745650.26634952903</v>
      </c>
      <c r="H13" s="7">
        <v>1</v>
      </c>
      <c r="I13" s="7">
        <v>-86193.542685117005</v>
      </c>
      <c r="J13" s="7">
        <f t="shared" si="0"/>
        <v>23206273.018667839</v>
      </c>
      <c r="K13" s="124">
        <f t="shared" si="1"/>
        <v>-2.3485595602583564E-2</v>
      </c>
      <c r="L13" s="175"/>
      <c r="M13" s="248"/>
    </row>
    <row r="14" spans="1:13" s="250" customFormat="1" x14ac:dyDescent="0.3">
      <c r="A14" s="6" t="s">
        <v>9</v>
      </c>
      <c r="B14" s="7">
        <v>19132759.358853001</v>
      </c>
      <c r="C14" s="7">
        <v>0</v>
      </c>
      <c r="D14" s="7">
        <v>-579564.61635181599</v>
      </c>
      <c r="E14" s="7">
        <v>-901250.14048537437</v>
      </c>
      <c r="F14" s="7">
        <v>-34617.700648548598</v>
      </c>
      <c r="G14" s="7">
        <v>1440983.7750217</v>
      </c>
      <c r="H14" s="7">
        <v>1</v>
      </c>
      <c r="I14" s="7">
        <v>-2225.8407767024601</v>
      </c>
      <c r="J14" s="7">
        <f t="shared" si="0"/>
        <v>19056085.835612252</v>
      </c>
      <c r="K14" s="124">
        <f t="shared" si="1"/>
        <v>-4.007447216716864E-3</v>
      </c>
      <c r="L14" s="175"/>
      <c r="M14" s="96"/>
    </row>
    <row r="15" spans="1:13" s="250" customFormat="1" x14ac:dyDescent="0.3">
      <c r="A15" s="6" t="s">
        <v>10</v>
      </c>
      <c r="B15" s="7">
        <v>21043841.759656001</v>
      </c>
      <c r="C15" s="7">
        <v>497403.63778191397</v>
      </c>
      <c r="D15" s="7">
        <v>-367479.68326229701</v>
      </c>
      <c r="E15" s="7">
        <v>-429384.51121572481</v>
      </c>
      <c r="F15" s="7">
        <v>-197626.85072189101</v>
      </c>
      <c r="G15" s="7">
        <v>1107933.4552957099</v>
      </c>
      <c r="H15" s="7">
        <v>1</v>
      </c>
      <c r="I15" s="7">
        <v>-74118.099110030511</v>
      </c>
      <c r="J15" s="7">
        <f t="shared" si="0"/>
        <v>21580570.708423682</v>
      </c>
      <c r="K15" s="124">
        <f t="shared" si="1"/>
        <v>2.5505273937036721E-2</v>
      </c>
      <c r="L15" s="175"/>
      <c r="M15" s="96"/>
    </row>
    <row r="16" spans="1:13" s="250" customFormat="1" x14ac:dyDescent="0.3">
      <c r="A16" s="6" t="s">
        <v>11</v>
      </c>
      <c r="B16" s="7">
        <v>37508577.012097999</v>
      </c>
      <c r="C16" s="7">
        <v>-1051360.59444423</v>
      </c>
      <c r="D16" s="7">
        <v>-605310.98018390697</v>
      </c>
      <c r="E16" s="7">
        <v>-1117304.345169056</v>
      </c>
      <c r="F16" s="7">
        <v>55501.997866997503</v>
      </c>
      <c r="G16" s="7">
        <v>373159.10155219497</v>
      </c>
      <c r="H16" s="7">
        <v>1</v>
      </c>
      <c r="I16" s="7">
        <v>-296632.52037808299</v>
      </c>
      <c r="J16" s="7">
        <f t="shared" si="0"/>
        <v>34866630.671341918</v>
      </c>
      <c r="K16" s="124">
        <f t="shared" si="1"/>
        <v>-7.0435792323018553E-2</v>
      </c>
      <c r="L16" s="175"/>
      <c r="M16" s="96"/>
    </row>
    <row r="17" spans="1:13" s="250" customFormat="1" x14ac:dyDescent="0.3">
      <c r="A17" s="8" t="s">
        <v>27</v>
      </c>
      <c r="B17" s="9">
        <f t="shared" ref="B17:J17" si="2">SUM(B5:B16)</f>
        <v>281405578.41164702</v>
      </c>
      <c r="C17" s="9">
        <f t="shared" si="2"/>
        <v>635103.22083601984</v>
      </c>
      <c r="D17" s="9">
        <f t="shared" si="2"/>
        <v>-10649972.797648562</v>
      </c>
      <c r="E17" s="9">
        <f t="shared" si="2"/>
        <v>-11491507.669470692</v>
      </c>
      <c r="F17" s="9">
        <f t="shared" si="2"/>
        <v>-3148770.3248496763</v>
      </c>
      <c r="G17" s="9">
        <f t="shared" si="2"/>
        <v>7064332.3298406731</v>
      </c>
      <c r="H17" s="9">
        <f t="shared" si="2"/>
        <v>12</v>
      </c>
      <c r="I17" s="9">
        <f>SUM(I5:I16)</f>
        <v>-2219376.2511615856</v>
      </c>
      <c r="J17" s="9">
        <f t="shared" si="2"/>
        <v>261595398.91919318</v>
      </c>
      <c r="K17" s="145">
        <f t="shared" si="1"/>
        <v>-7.0397252265820498E-2</v>
      </c>
      <c r="L17" s="28"/>
      <c r="M17" s="96"/>
    </row>
    <row r="18" spans="1:13" s="250" customFormat="1" x14ac:dyDescent="0.3">
      <c r="I18" s="88"/>
      <c r="K18" s="3"/>
      <c r="L18" s="3"/>
      <c r="M18" s="27"/>
    </row>
    <row r="19" spans="1:13" s="250" customFormat="1" ht="28.8" outlineLevel="1" x14ac:dyDescent="0.3">
      <c r="A19" s="86"/>
      <c r="B19" s="86"/>
      <c r="C19" s="86" t="s">
        <v>21</v>
      </c>
      <c r="D19" s="86" t="s">
        <v>22</v>
      </c>
      <c r="E19" s="86" t="s">
        <v>23</v>
      </c>
      <c r="F19" s="86" t="s">
        <v>24</v>
      </c>
      <c r="G19" s="86" t="s">
        <v>25</v>
      </c>
      <c r="H19" s="86" t="s">
        <v>60</v>
      </c>
      <c r="I19" s="86" t="s">
        <v>62</v>
      </c>
      <c r="J19" s="86" t="s">
        <v>65</v>
      </c>
      <c r="K19" s="3"/>
      <c r="L19" s="3"/>
      <c r="M19" s="27"/>
    </row>
    <row r="20" spans="1:13" s="250" customFormat="1" outlineLevel="1" x14ac:dyDescent="0.3">
      <c r="A20" s="307" t="str">
        <f>"Dif. FY " &amp; A3 &amp; " vs " &amp; A23</f>
        <v>Dif. FY w47 vs w43</v>
      </c>
      <c r="B20" s="308"/>
      <c r="C20" s="87">
        <f>C17-C37</f>
        <v>-10126.950542424805</v>
      </c>
      <c r="D20" s="87">
        <f t="shared" ref="D20:J20" si="3">D17-D37</f>
        <v>-281717.10678538308</v>
      </c>
      <c r="E20" s="122">
        <f t="shared" si="3"/>
        <v>-545264.30021317489</v>
      </c>
      <c r="F20" s="122">
        <f t="shared" si="3"/>
        <v>1268.8325927425176</v>
      </c>
      <c r="G20" s="122">
        <f t="shared" si="3"/>
        <v>-518980.68188332021</v>
      </c>
      <c r="H20" s="122">
        <f t="shared" si="3"/>
        <v>0</v>
      </c>
      <c r="I20" s="122">
        <f t="shared" si="3"/>
        <v>3885.8934549647383</v>
      </c>
      <c r="J20" s="87">
        <f t="shared" si="3"/>
        <v>-1350934.3133765757</v>
      </c>
      <c r="K20" s="176"/>
      <c r="L20" s="177"/>
      <c r="M20" s="27"/>
    </row>
    <row r="21" spans="1:13" s="250" customFormat="1" ht="15" customHeight="1" x14ac:dyDescent="0.3">
      <c r="A21" s="142" t="str">
        <f>"Var. FY " &amp; A3 &amp; " vs " &amp; A23</f>
        <v>Var. FY w47 vs w43</v>
      </c>
      <c r="B21" s="143"/>
      <c r="C21" s="121">
        <f>(C17-C37)/ABS(C37)</f>
        <v>-1.5695097643667194E-2</v>
      </c>
      <c r="D21" s="121">
        <f t="shared" ref="D21:J21" si="4">(D17-D37)/ABS(D37)</f>
        <v>-2.7171118767223373E-2</v>
      </c>
      <c r="E21" s="121">
        <f t="shared" si="4"/>
        <v>-4.9812915885329906E-2</v>
      </c>
      <c r="F21" s="121">
        <f t="shared" si="4"/>
        <v>4.0279899052833004E-4</v>
      </c>
      <c r="G21" s="121">
        <f t="shared" si="4"/>
        <v>-6.8437196391730501E-2</v>
      </c>
      <c r="H21" s="121">
        <f t="shared" si="4"/>
        <v>0</v>
      </c>
      <c r="I21" s="121">
        <f t="shared" si="4"/>
        <v>1.7478341294004018E-3</v>
      </c>
      <c r="J21" s="121">
        <f t="shared" si="4"/>
        <v>-5.1376807456056314E-3</v>
      </c>
      <c r="K21" s="3"/>
      <c r="L21" s="3"/>
      <c r="M21" s="27"/>
    </row>
    <row r="22" spans="1:13" s="250" customFormat="1" x14ac:dyDescent="0.3">
      <c r="C22" s="89"/>
      <c r="D22" s="89"/>
      <c r="E22" s="89"/>
      <c r="F22" s="89"/>
      <c r="G22" s="89"/>
      <c r="H22" s="89"/>
      <c r="I22" s="89"/>
      <c r="K22" s="3"/>
      <c r="L22" s="3"/>
      <c r="M22" s="27"/>
    </row>
    <row r="23" spans="1:13" s="250" customFormat="1" x14ac:dyDescent="0.3">
      <c r="A23" s="306" t="str">
        <f>'Andina DT'!A22:J22</f>
        <v>w43</v>
      </c>
      <c r="B23" s="306"/>
      <c r="C23" s="306"/>
      <c r="D23" s="306"/>
      <c r="E23" s="306"/>
      <c r="F23" s="306"/>
      <c r="G23" s="306"/>
      <c r="H23" s="306"/>
      <c r="I23" s="306"/>
      <c r="J23" s="306"/>
      <c r="K23" s="3"/>
      <c r="L23" s="140"/>
      <c r="M23" s="27"/>
    </row>
    <row r="24" spans="1:13" s="250" customFormat="1" ht="28.8" x14ac:dyDescent="0.3">
      <c r="A24" s="5" t="s">
        <v>34</v>
      </c>
      <c r="B24" s="5" t="s">
        <v>26</v>
      </c>
      <c r="C24" s="40" t="s">
        <v>21</v>
      </c>
      <c r="D24" s="40" t="s">
        <v>22</v>
      </c>
      <c r="E24" s="40" t="s">
        <v>23</v>
      </c>
      <c r="F24" s="40" t="s">
        <v>24</v>
      </c>
      <c r="G24" s="40" t="s">
        <v>25</v>
      </c>
      <c r="H24" s="40" t="s">
        <v>60</v>
      </c>
      <c r="I24" s="5" t="s">
        <v>62</v>
      </c>
      <c r="J24" s="5" t="s">
        <v>65</v>
      </c>
      <c r="K24" s="5" t="s">
        <v>53</v>
      </c>
      <c r="L24" s="96"/>
      <c r="M24" s="129"/>
    </row>
    <row r="25" spans="1:13" s="250" customFormat="1" x14ac:dyDescent="0.3">
      <c r="A25" s="6" t="s">
        <v>0</v>
      </c>
      <c r="B25" s="7">
        <v>20129428.437658001</v>
      </c>
      <c r="C25" s="7">
        <v>-40815.2613849154</v>
      </c>
      <c r="D25" s="7">
        <v>25135.6828169734</v>
      </c>
      <c r="E25" s="7">
        <v>620455.58067380905</v>
      </c>
      <c r="F25" s="7">
        <v>-402670.56845713401</v>
      </c>
      <c r="G25" s="7">
        <v>532883.82791048801</v>
      </c>
      <c r="H25" s="7">
        <v>1</v>
      </c>
      <c r="I25" s="7">
        <v>-408740.56652356498</v>
      </c>
      <c r="J25" s="7">
        <f t="shared" ref="J25:J36" si="5">SUM(B25:I25)</f>
        <v>20455678.132693656</v>
      </c>
      <c r="K25" s="123">
        <f t="shared" ref="K25:K37" si="6">J25/B25-1</f>
        <v>1.6207598543896529E-2</v>
      </c>
      <c r="L25" s="98"/>
      <c r="M25" s="120"/>
    </row>
    <row r="26" spans="1:13" s="250" customFormat="1" x14ac:dyDescent="0.3">
      <c r="A26" s="6" t="s">
        <v>1</v>
      </c>
      <c r="B26" s="7">
        <v>26311162.376224</v>
      </c>
      <c r="C26" s="7">
        <v>556762.90171318001</v>
      </c>
      <c r="D26" s="7">
        <v>-313350.115995612</v>
      </c>
      <c r="E26" s="7">
        <v>472120.95452040702</v>
      </c>
      <c r="F26" s="7">
        <v>-415180.71802121802</v>
      </c>
      <c r="G26" s="7">
        <v>-884121.28245341405</v>
      </c>
      <c r="H26" s="7">
        <v>1</v>
      </c>
      <c r="I26" s="7">
        <v>-159536.65871610076</v>
      </c>
      <c r="J26" s="7">
        <f t="shared" si="5"/>
        <v>25567858.457271244</v>
      </c>
      <c r="K26" s="124">
        <f t="shared" si="6"/>
        <v>-2.8250516200091558E-2</v>
      </c>
      <c r="L26" s="98"/>
      <c r="M26" s="130" t="str">
        <f>"Comentarios "&amp;A23</f>
        <v>Comentarios w43</v>
      </c>
    </row>
    <row r="27" spans="1:13" s="250" customFormat="1" x14ac:dyDescent="0.3">
      <c r="A27" s="6" t="s">
        <v>2</v>
      </c>
      <c r="B27" s="7">
        <v>32058052.493577</v>
      </c>
      <c r="C27" s="7">
        <v>23146.520736049901</v>
      </c>
      <c r="D27" s="7">
        <v>-369977.19100697001</v>
      </c>
      <c r="E27" s="7">
        <v>-2215547.0388515401</v>
      </c>
      <c r="F27" s="7">
        <v>-221962.621596991</v>
      </c>
      <c r="G27" s="7">
        <v>1169031.70613911</v>
      </c>
      <c r="H27" s="7">
        <v>1</v>
      </c>
      <c r="I27" s="7">
        <v>-104482.3684532504</v>
      </c>
      <c r="J27" s="7">
        <f t="shared" si="5"/>
        <v>30338262.500543408</v>
      </c>
      <c r="K27" s="124">
        <f t="shared" si="6"/>
        <v>-5.3646115695211383E-2</v>
      </c>
      <c r="L27" s="98"/>
      <c r="M27" s="120"/>
    </row>
    <row r="28" spans="1:13" s="250" customFormat="1" x14ac:dyDescent="0.3">
      <c r="A28" s="6" t="s">
        <v>3</v>
      </c>
      <c r="B28" s="7">
        <v>21456523.052358001</v>
      </c>
      <c r="C28" s="7">
        <v>11625.563254897999</v>
      </c>
      <c r="D28" s="7">
        <v>-828436.46578279498</v>
      </c>
      <c r="E28" s="7">
        <v>-1375685.0945227768</v>
      </c>
      <c r="F28" s="7">
        <v>-94280.454165463103</v>
      </c>
      <c r="G28" s="7">
        <v>828283.71461565001</v>
      </c>
      <c r="H28" s="7">
        <v>1</v>
      </c>
      <c r="I28" s="7">
        <v>-347851.6302887795</v>
      </c>
      <c r="J28" s="7">
        <f t="shared" si="5"/>
        <v>19650179.685468733</v>
      </c>
      <c r="K28" s="124">
        <f t="shared" si="6"/>
        <v>-8.4186210528213068E-2</v>
      </c>
      <c r="L28" s="98"/>
      <c r="M28" s="105"/>
    </row>
    <row r="29" spans="1:13" s="250" customFormat="1" x14ac:dyDescent="0.3">
      <c r="A29" s="6" t="s">
        <v>4</v>
      </c>
      <c r="B29" s="7">
        <v>21212145.551192999</v>
      </c>
      <c r="C29" s="7">
        <v>332271.44322944002</v>
      </c>
      <c r="D29" s="7">
        <v>-2260862.7074391199</v>
      </c>
      <c r="E29" s="7">
        <v>-2141965.3828148274</v>
      </c>
      <c r="F29" s="7">
        <v>-301082.50640860997</v>
      </c>
      <c r="G29" s="7">
        <v>660028.76849373896</v>
      </c>
      <c r="H29" s="7">
        <v>1</v>
      </c>
      <c r="I29" s="7">
        <v>-111046.6724493114</v>
      </c>
      <c r="J29" s="7">
        <f t="shared" si="5"/>
        <v>17389489.493804306</v>
      </c>
      <c r="K29" s="124">
        <f t="shared" si="6"/>
        <v>-0.18021072164355867</v>
      </c>
      <c r="L29" s="98"/>
      <c r="M29" s="105"/>
    </row>
    <row r="30" spans="1:13" s="250" customFormat="1" x14ac:dyDescent="0.3">
      <c r="A30" s="6" t="s">
        <v>5</v>
      </c>
      <c r="B30" s="7">
        <v>22870915.674423002</v>
      </c>
      <c r="C30" s="7">
        <v>-1073128.89367684</v>
      </c>
      <c r="D30" s="7">
        <v>-2441623.9081707201</v>
      </c>
      <c r="E30" s="7">
        <v>-2972399.3423917978</v>
      </c>
      <c r="F30" s="7">
        <v>-1193919.39405659</v>
      </c>
      <c r="G30" s="7">
        <v>719934.56949993304</v>
      </c>
      <c r="H30" s="7">
        <v>1</v>
      </c>
      <c r="I30" s="7">
        <v>-240869.10654695041</v>
      </c>
      <c r="J30" s="7">
        <f t="shared" si="5"/>
        <v>15668910.599080037</v>
      </c>
      <c r="K30" s="124">
        <f t="shared" si="6"/>
        <v>-0.31489797688323906</v>
      </c>
      <c r="L30" s="98"/>
      <c r="M30" s="105"/>
    </row>
    <row r="31" spans="1:13" s="250" customFormat="1" x14ac:dyDescent="0.3">
      <c r="A31" s="6" t="s">
        <v>6</v>
      </c>
      <c r="B31" s="7">
        <v>17838398.199767001</v>
      </c>
      <c r="C31" s="7">
        <v>937627.41889526404</v>
      </c>
      <c r="D31" s="7">
        <v>-1460431.6710308101</v>
      </c>
      <c r="E31" s="7">
        <v>-540969.31130088784</v>
      </c>
      <c r="F31" s="7">
        <v>-124927.978828705</v>
      </c>
      <c r="G31" s="7">
        <v>69844.105689426593</v>
      </c>
      <c r="H31" s="7">
        <v>1</v>
      </c>
      <c r="I31" s="7">
        <v>-293859.09988273284</v>
      </c>
      <c r="J31" s="7">
        <f t="shared" si="5"/>
        <v>16425682.663308555</v>
      </c>
      <c r="K31" s="124">
        <f t="shared" si="6"/>
        <v>-7.9195201308876362E-2</v>
      </c>
      <c r="L31" s="98"/>
      <c r="M31" s="105"/>
    </row>
    <row r="32" spans="1:13" s="250" customFormat="1" x14ac:dyDescent="0.3">
      <c r="A32" s="6" t="s">
        <v>7</v>
      </c>
      <c r="B32" s="7">
        <v>18079380.530768</v>
      </c>
      <c r="C32" s="7">
        <v>160856.71415325999</v>
      </c>
      <c r="D32" s="7">
        <v>-489797.06589244498</v>
      </c>
      <c r="E32" s="7">
        <v>-272977.09369714512</v>
      </c>
      <c r="F32" s="7">
        <v>-152817.05027761101</v>
      </c>
      <c r="G32" s="7">
        <v>302731.46432421001</v>
      </c>
      <c r="H32" s="7">
        <v>1</v>
      </c>
      <c r="I32" s="7">
        <v>-96548.632734485611</v>
      </c>
      <c r="J32" s="7">
        <f t="shared" si="5"/>
        <v>17530829.866643783</v>
      </c>
      <c r="K32" s="124">
        <f t="shared" si="6"/>
        <v>-3.0341231171647554E-2</v>
      </c>
      <c r="L32" s="98"/>
      <c r="M32" s="105"/>
    </row>
    <row r="33" spans="1:13" s="250" customFormat="1" x14ac:dyDescent="0.3">
      <c r="A33" s="6" t="s">
        <v>8</v>
      </c>
      <c r="B33" s="7">
        <v>23764393.965071999</v>
      </c>
      <c r="C33" s="7">
        <v>284973.99836874602</v>
      </c>
      <c r="D33" s="7">
        <v>-659864.525699044</v>
      </c>
      <c r="E33" s="7">
        <v>-415575.31347729941</v>
      </c>
      <c r="F33" s="7">
        <v>-66860.706439638205</v>
      </c>
      <c r="G33" s="7">
        <v>756644.24783528701</v>
      </c>
      <c r="H33" s="7">
        <v>1</v>
      </c>
      <c r="I33" s="7">
        <v>-87373.725520804117</v>
      </c>
      <c r="J33" s="7">
        <f t="shared" si="5"/>
        <v>23576338.940139245</v>
      </c>
      <c r="K33" s="124">
        <f t="shared" si="6"/>
        <v>-7.91331035873033E-3</v>
      </c>
      <c r="L33" s="98"/>
      <c r="M33" s="105"/>
    </row>
    <row r="34" spans="1:13" s="250" customFormat="1" x14ac:dyDescent="0.3">
      <c r="A34" s="6" t="s">
        <v>9</v>
      </c>
      <c r="B34" s="7">
        <v>19132759.358853001</v>
      </c>
      <c r="C34" s="7">
        <v>0</v>
      </c>
      <c r="D34" s="7">
        <v>-493429.04768764798</v>
      </c>
      <c r="E34" s="7">
        <v>-774856.94377277407</v>
      </c>
      <c r="F34" s="7">
        <v>-34876.6986881087</v>
      </c>
      <c r="G34" s="7">
        <v>1944803.8184229201</v>
      </c>
      <c r="H34" s="7">
        <v>1</v>
      </c>
      <c r="I34" s="7">
        <v>-2296.4538257138502</v>
      </c>
      <c r="J34" s="7">
        <f t="shared" si="5"/>
        <v>19772105.033301678</v>
      </c>
      <c r="K34" s="124">
        <f t="shared" si="6"/>
        <v>3.3416281596247766E-2</v>
      </c>
      <c r="L34" s="98"/>
      <c r="M34" s="105"/>
    </row>
    <row r="35" spans="1:13" s="250" customFormat="1" x14ac:dyDescent="0.3">
      <c r="A35" s="6" t="s">
        <v>10</v>
      </c>
      <c r="B35" s="7">
        <v>21043841.759656001</v>
      </c>
      <c r="C35" s="7">
        <v>507174.65999842202</v>
      </c>
      <c r="D35" s="7">
        <v>-405013.83077508799</v>
      </c>
      <c r="E35" s="7">
        <v>-351045.12604396476</v>
      </c>
      <c r="F35" s="7">
        <v>-197477.62813037101</v>
      </c>
      <c r="G35" s="7">
        <v>1018543.31076353</v>
      </c>
      <c r="H35" s="7">
        <v>1</v>
      </c>
      <c r="I35" s="7">
        <v>-73924.330706078312</v>
      </c>
      <c r="J35" s="7">
        <f t="shared" si="5"/>
        <v>21542099.814762447</v>
      </c>
      <c r="K35" s="124">
        <f t="shared" si="6"/>
        <v>2.3677143213539864E-2</v>
      </c>
      <c r="L35" s="98"/>
      <c r="M35" s="105"/>
    </row>
    <row r="36" spans="1:13" s="250" customFormat="1" x14ac:dyDescent="0.3">
      <c r="A36" s="6" t="s">
        <v>11</v>
      </c>
      <c r="B36" s="7">
        <v>37508577.012097999</v>
      </c>
      <c r="C36" s="7">
        <v>-1055264.8939090599</v>
      </c>
      <c r="D36" s="7">
        <v>-670604.84419990098</v>
      </c>
      <c r="E36" s="7">
        <v>-977799.25757871999</v>
      </c>
      <c r="F36" s="7">
        <v>56017.167628020899</v>
      </c>
      <c r="G36" s="7">
        <v>464704.76048311399</v>
      </c>
      <c r="H36" s="7">
        <v>1</v>
      </c>
      <c r="I36" s="7">
        <v>-296732.89896877803</v>
      </c>
      <c r="J36" s="7">
        <f t="shared" si="5"/>
        <v>35028898.045552671</v>
      </c>
      <c r="K36" s="124">
        <f t="shared" si="6"/>
        <v>-6.6109651820316584E-2</v>
      </c>
      <c r="L36" s="98"/>
      <c r="M36" s="105"/>
    </row>
    <row r="37" spans="1:13" s="250" customFormat="1" x14ac:dyDescent="0.3">
      <c r="A37" s="8" t="s">
        <v>27</v>
      </c>
      <c r="B37" s="9">
        <f>SUM(B25:B36)</f>
        <v>281405578.41164702</v>
      </c>
      <c r="C37" s="9">
        <f t="shared" ref="C37:J37" si="7">SUM(C25:C36)</f>
        <v>645230.17137844465</v>
      </c>
      <c r="D37" s="9">
        <f t="shared" si="7"/>
        <v>-10368255.690863179</v>
      </c>
      <c r="E37" s="9">
        <f t="shared" si="7"/>
        <v>-10946243.369257517</v>
      </c>
      <c r="F37" s="9">
        <f t="shared" si="7"/>
        <v>-3150039.1574424189</v>
      </c>
      <c r="G37" s="9">
        <f t="shared" si="7"/>
        <v>7583313.0117239933</v>
      </c>
      <c r="H37" s="9">
        <f t="shared" ref="H37" si="8">SUM(H25:H36)</f>
        <v>12</v>
      </c>
      <c r="I37" s="9">
        <f>SUM(I25:I36)</f>
        <v>-2223262.1446165503</v>
      </c>
      <c r="J37" s="9">
        <f t="shared" si="7"/>
        <v>262946333.23256975</v>
      </c>
      <c r="K37" s="145">
        <f t="shared" si="6"/>
        <v>-6.5596585836243171E-2</v>
      </c>
      <c r="L37" s="174"/>
      <c r="M37" s="105"/>
    </row>
  </sheetData>
  <mergeCells count="6">
    <mergeCell ref="A23:J23"/>
    <mergeCell ref="B1:J2"/>
    <mergeCell ref="A3:J3"/>
    <mergeCell ref="M8:M9"/>
    <mergeCell ref="M11:M12"/>
    <mergeCell ref="A20:B20"/>
  </mergeCells>
  <hyperlinks>
    <hyperlink ref="C24" location="'Uruguay Support'!B25" display="Calendar" xr:uid="{00000000-0004-0000-1000-000000000000}"/>
    <hyperlink ref="D24" location="'Uruguay Support'!N25" display="Economy" xr:uid="{00000000-0004-0000-1000-000001000000}"/>
    <hyperlink ref="E24" location="'Uruguay Support'!Z25" display="Affordability" xr:uid="{00000000-0004-0000-1000-000002000000}"/>
    <hyperlink ref="F24" location="'Uruguay Support'!AD25" display="Competitiveness" xr:uid="{00000000-0004-0000-1000-000003000000}"/>
    <hyperlink ref="G24" location="'Uruguay Support'!AH25" display="Weather" xr:uid="{00000000-0004-0000-1000-000004000000}"/>
    <hyperlink ref="C4" location="'Uruguay Support'!B8" display="Calendar" xr:uid="{00000000-0004-0000-1000-000005000000}"/>
    <hyperlink ref="D4" location="'Uruguay Support'!N8" display="Economy" xr:uid="{00000000-0004-0000-1000-000006000000}"/>
    <hyperlink ref="E4" location="'Uruguay Support'!Z8" display="Affordability" xr:uid="{00000000-0004-0000-1000-000007000000}"/>
    <hyperlink ref="F4" location="'Uruguay Support'!AD8" display="Competitiveness" xr:uid="{00000000-0004-0000-1000-000008000000}"/>
    <hyperlink ref="G4" location="'Uruguay Support'!AH8" display="Weather" xr:uid="{00000000-0004-0000-1000-000009000000}"/>
    <hyperlink ref="H4" location="'Uruguay Support'!AL8" display="Brand" xr:uid="{00000000-0004-0000-1000-00000A000000}"/>
    <hyperlink ref="H24" location="'Uruguay Support'!AL25" display="Brand" xr:uid="{00000000-0004-0000-1000-00000B000000}"/>
  </hyperlink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O39"/>
  <sheetViews>
    <sheetView showGridLines="0" zoomScale="70" zoomScaleNormal="70" workbookViewId="0">
      <pane xSplit="1" ySplit="5" topLeftCell="B6" activePane="bottomRight" state="frozen"/>
      <selection pane="topRight"/>
      <selection pane="bottomLeft"/>
      <selection pane="bottomRight" activeCell="F6" sqref="F1:I1048576"/>
    </sheetView>
  </sheetViews>
  <sheetFormatPr baseColWidth="10" defaultColWidth="11.5546875" defaultRowHeight="14.4" x14ac:dyDescent="0.3"/>
  <cols>
    <col min="1" max="1" width="31.109375" bestFit="1" customWidth="1"/>
    <col min="2" max="3" width="11.88671875" style="250" customWidth="1"/>
    <col min="4" max="5" width="11.5546875" style="250"/>
    <col min="14" max="15" width="17.109375" bestFit="1" customWidth="1"/>
    <col min="16" max="16" width="16.44140625" bestFit="1" customWidth="1"/>
    <col min="38" max="41" width="11.5546875" style="250"/>
  </cols>
  <sheetData>
    <row r="1" spans="1:41" ht="32.25" customHeight="1" x14ac:dyDescent="0.3">
      <c r="B1" s="315" t="s">
        <v>69</v>
      </c>
      <c r="C1" s="315"/>
      <c r="D1" s="315"/>
      <c r="E1" s="315"/>
      <c r="F1" s="315" t="s">
        <v>28</v>
      </c>
      <c r="G1" s="315"/>
      <c r="H1" s="315"/>
      <c r="I1" s="315"/>
      <c r="J1" s="315" t="s">
        <v>57</v>
      </c>
      <c r="K1" s="315"/>
      <c r="L1" s="315"/>
      <c r="M1" s="315"/>
      <c r="N1" s="315" t="s">
        <v>105</v>
      </c>
      <c r="O1" s="315"/>
      <c r="P1" s="315"/>
      <c r="Q1" s="315"/>
      <c r="R1" s="315" t="s">
        <v>98</v>
      </c>
      <c r="S1" s="315"/>
      <c r="T1" s="315"/>
      <c r="U1" s="315"/>
      <c r="V1" s="315" t="s">
        <v>36</v>
      </c>
      <c r="W1" s="315"/>
      <c r="X1" s="315"/>
      <c r="Y1" s="315"/>
      <c r="Z1" s="315" t="s">
        <v>97</v>
      </c>
      <c r="AA1" s="315"/>
      <c r="AB1" s="315"/>
      <c r="AC1" s="315"/>
      <c r="AD1" s="315" t="s">
        <v>76</v>
      </c>
      <c r="AE1" s="315"/>
      <c r="AF1" s="315"/>
      <c r="AG1" s="315"/>
      <c r="AH1" s="315" t="s">
        <v>39</v>
      </c>
      <c r="AI1" s="315"/>
      <c r="AJ1" s="315"/>
      <c r="AK1" s="315"/>
      <c r="AL1" s="315" t="s">
        <v>72</v>
      </c>
      <c r="AM1" s="315"/>
      <c r="AN1" s="315"/>
      <c r="AO1" s="315"/>
    </row>
    <row r="2" spans="1:41" x14ac:dyDescent="0.3">
      <c r="A2" s="38" t="s">
        <v>29</v>
      </c>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5"/>
      <c r="AI2" s="315"/>
      <c r="AJ2" s="315"/>
      <c r="AK2" s="315"/>
      <c r="AL2" s="315"/>
      <c r="AM2" s="315"/>
      <c r="AN2" s="315"/>
      <c r="AO2" s="315"/>
    </row>
    <row r="3" spans="1:41" x14ac:dyDescent="0.3">
      <c r="A3" s="32" t="s">
        <v>30</v>
      </c>
      <c r="B3" s="315"/>
      <c r="C3" s="315"/>
      <c r="D3" s="315"/>
      <c r="E3" s="315"/>
      <c r="F3" s="315"/>
      <c r="G3" s="315"/>
      <c r="H3" s="315"/>
      <c r="I3" s="315"/>
      <c r="J3" s="315"/>
      <c r="K3" s="315"/>
      <c r="L3" s="315"/>
      <c r="M3" s="315"/>
      <c r="N3" s="315"/>
      <c r="O3" s="315"/>
      <c r="P3" s="315"/>
      <c r="Q3" s="315"/>
      <c r="R3" s="315"/>
      <c r="S3" s="315"/>
      <c r="T3" s="315"/>
      <c r="U3" s="315"/>
      <c r="V3" s="315"/>
      <c r="W3" s="315"/>
      <c r="X3" s="315"/>
      <c r="Y3" s="315"/>
      <c r="Z3" s="315"/>
      <c r="AA3" s="315"/>
      <c r="AB3" s="315"/>
      <c r="AC3" s="315"/>
      <c r="AD3" s="315"/>
      <c r="AE3" s="315"/>
      <c r="AF3" s="315"/>
      <c r="AG3" s="315"/>
      <c r="AH3" s="315"/>
      <c r="AI3" s="315"/>
      <c r="AJ3" s="315"/>
      <c r="AK3" s="315"/>
      <c r="AL3" s="315"/>
      <c r="AM3" s="315"/>
      <c r="AN3" s="315"/>
      <c r="AO3" s="315"/>
    </row>
    <row r="4" spans="1:41" ht="14.25" customHeight="1" x14ac:dyDescent="0.3">
      <c r="A4" s="85" t="s">
        <v>42</v>
      </c>
      <c r="B4" s="315"/>
      <c r="C4" s="315"/>
      <c r="D4" s="315"/>
      <c r="E4" s="315"/>
      <c r="F4" s="315"/>
      <c r="G4" s="315"/>
      <c r="H4" s="315"/>
      <c r="I4" s="315"/>
      <c r="J4" s="315"/>
      <c r="K4" s="315"/>
      <c r="L4" s="315"/>
      <c r="M4" s="315"/>
      <c r="N4" s="315"/>
      <c r="O4" s="315"/>
      <c r="P4" s="315"/>
      <c r="Q4" s="315"/>
      <c r="R4" s="315"/>
      <c r="S4" s="315"/>
      <c r="T4" s="315"/>
      <c r="U4" s="315"/>
      <c r="V4" s="315"/>
      <c r="W4" s="315"/>
      <c r="X4" s="315"/>
      <c r="Y4" s="315"/>
      <c r="Z4" s="315"/>
      <c r="AA4" s="315"/>
      <c r="AB4" s="315"/>
      <c r="AC4" s="315"/>
      <c r="AD4" s="315"/>
      <c r="AE4" s="315"/>
      <c r="AF4" s="315"/>
      <c r="AG4" s="315"/>
      <c r="AH4" s="315"/>
      <c r="AI4" s="315"/>
      <c r="AJ4" s="315"/>
      <c r="AK4" s="315"/>
      <c r="AL4" s="315"/>
      <c r="AM4" s="315"/>
      <c r="AN4" s="315"/>
      <c r="AO4" s="315"/>
    </row>
    <row r="5" spans="1:41" s="3" customFormat="1" ht="14.25" customHeight="1" x14ac:dyDescent="0.3">
      <c r="A5" s="82" t="s">
        <v>56</v>
      </c>
      <c r="B5" s="315"/>
      <c r="C5" s="315"/>
      <c r="D5" s="315"/>
      <c r="E5" s="315"/>
      <c r="F5" s="315"/>
      <c r="G5" s="315"/>
      <c r="H5" s="315"/>
      <c r="I5" s="315"/>
      <c r="J5" s="315"/>
      <c r="K5" s="315"/>
      <c r="L5" s="315"/>
      <c r="M5" s="315"/>
      <c r="N5" s="315"/>
      <c r="O5" s="315"/>
      <c r="P5" s="315"/>
      <c r="Q5" s="315"/>
      <c r="R5" s="315"/>
      <c r="S5" s="315"/>
      <c r="T5" s="315"/>
      <c r="U5" s="315"/>
      <c r="V5" s="315"/>
      <c r="W5" s="315"/>
      <c r="X5" s="315"/>
      <c r="Y5" s="315"/>
      <c r="Z5" s="315"/>
      <c r="AA5" s="315"/>
      <c r="AB5" s="315"/>
      <c r="AC5" s="315"/>
      <c r="AD5" s="315"/>
      <c r="AE5" s="315"/>
      <c r="AF5" s="315"/>
      <c r="AG5" s="315"/>
      <c r="AH5" s="315"/>
      <c r="AI5" s="315"/>
      <c r="AJ5" s="315"/>
      <c r="AK5" s="315"/>
      <c r="AL5" s="315"/>
      <c r="AM5" s="315"/>
      <c r="AN5" s="315"/>
      <c r="AO5" s="315"/>
    </row>
    <row r="6" spans="1:41" ht="15" thickBot="1" x14ac:dyDescent="0.35">
      <c r="A6" s="39" t="str">
        <f>"Uruguay - "&amp;'Andina DT'!A2:J2</f>
        <v>Uruguay - w47</v>
      </c>
      <c r="B6" s="33"/>
      <c r="C6" s="33"/>
      <c r="D6" s="33"/>
      <c r="E6" s="33"/>
      <c r="F6" s="33"/>
      <c r="G6" s="33"/>
      <c r="J6" s="33"/>
      <c r="K6" s="33"/>
    </row>
    <row r="7" spans="1:41" ht="15" thickBot="1" x14ac:dyDescent="0.35">
      <c r="A7" s="30"/>
      <c r="B7" s="312" t="s">
        <v>21</v>
      </c>
      <c r="C7" s="313"/>
      <c r="D7" s="313"/>
      <c r="E7" s="313"/>
      <c r="F7" s="313"/>
      <c r="G7" s="313"/>
      <c r="H7" s="313"/>
      <c r="I7" s="313"/>
      <c r="J7" s="313"/>
      <c r="K7" s="313"/>
      <c r="L7" s="313"/>
      <c r="M7" s="314"/>
      <c r="N7" s="312" t="s">
        <v>22</v>
      </c>
      <c r="O7" s="313"/>
      <c r="P7" s="313"/>
      <c r="Q7" s="313"/>
      <c r="R7" s="313"/>
      <c r="S7" s="313"/>
      <c r="T7" s="313"/>
      <c r="U7" s="314"/>
      <c r="V7" s="312" t="s">
        <v>41</v>
      </c>
      <c r="W7" s="313"/>
      <c r="X7" s="313"/>
      <c r="Y7" s="314"/>
      <c r="Z7" s="312" t="s">
        <v>23</v>
      </c>
      <c r="AA7" s="313"/>
      <c r="AB7" s="313"/>
      <c r="AC7" s="313"/>
      <c r="AD7" s="312" t="s">
        <v>24</v>
      </c>
      <c r="AE7" s="313"/>
      <c r="AF7" s="313"/>
      <c r="AG7" s="314"/>
      <c r="AH7" s="312" t="s">
        <v>25</v>
      </c>
      <c r="AI7" s="313"/>
      <c r="AJ7" s="313"/>
      <c r="AK7" s="314"/>
      <c r="AL7" s="312" t="s">
        <v>60</v>
      </c>
      <c r="AM7" s="313"/>
      <c r="AN7" s="313"/>
      <c r="AO7" s="314"/>
    </row>
    <row r="8" spans="1:41" ht="15" thickBot="1" x14ac:dyDescent="0.35">
      <c r="A8" s="2"/>
      <c r="B8" s="312" t="s">
        <v>68</v>
      </c>
      <c r="C8" s="313"/>
      <c r="D8" s="313"/>
      <c r="E8" s="314"/>
      <c r="F8" s="312" t="s">
        <v>17</v>
      </c>
      <c r="G8" s="313"/>
      <c r="H8" s="313"/>
      <c r="I8" s="314"/>
      <c r="J8" s="312" t="s">
        <v>57</v>
      </c>
      <c r="K8" s="313"/>
      <c r="L8" s="313"/>
      <c r="M8" s="314"/>
      <c r="N8" s="312" t="s">
        <v>82</v>
      </c>
      <c r="O8" s="313"/>
      <c r="P8" s="313"/>
      <c r="Q8" s="314"/>
      <c r="R8" s="312" t="s">
        <v>19</v>
      </c>
      <c r="S8" s="313"/>
      <c r="T8" s="313"/>
      <c r="U8" s="314"/>
      <c r="V8" s="312" t="s">
        <v>35</v>
      </c>
      <c r="W8" s="313"/>
      <c r="X8" s="313"/>
      <c r="Y8" s="314"/>
      <c r="Z8" s="312" t="s">
        <v>84</v>
      </c>
      <c r="AA8" s="313"/>
      <c r="AB8" s="313"/>
      <c r="AC8" s="314"/>
      <c r="AD8" s="312" t="s">
        <v>73</v>
      </c>
      <c r="AE8" s="313"/>
      <c r="AF8" s="313"/>
      <c r="AG8" s="314"/>
      <c r="AH8" s="312" t="s">
        <v>16</v>
      </c>
      <c r="AI8" s="313"/>
      <c r="AJ8" s="313"/>
      <c r="AK8" s="314"/>
      <c r="AL8" s="312" t="s">
        <v>71</v>
      </c>
      <c r="AM8" s="313"/>
      <c r="AN8" s="313"/>
      <c r="AO8" s="314"/>
    </row>
    <row r="9" spans="1:41" x14ac:dyDescent="0.3">
      <c r="A9" s="1"/>
      <c r="B9" s="12">
        <v>2020</v>
      </c>
      <c r="C9" s="13">
        <v>2021</v>
      </c>
      <c r="D9" s="13" t="s">
        <v>12</v>
      </c>
      <c r="E9" s="14" t="s">
        <v>13</v>
      </c>
      <c r="F9" s="12">
        <v>2020</v>
      </c>
      <c r="G9" s="13">
        <v>2021</v>
      </c>
      <c r="H9" s="13" t="s">
        <v>12</v>
      </c>
      <c r="I9" s="14" t="s">
        <v>13</v>
      </c>
      <c r="J9" s="276">
        <v>2020</v>
      </c>
      <c r="K9" s="277">
        <v>2021</v>
      </c>
      <c r="L9" s="277" t="s">
        <v>12</v>
      </c>
      <c r="M9" s="278" t="s">
        <v>13</v>
      </c>
      <c r="N9" s="12">
        <v>2020</v>
      </c>
      <c r="O9" s="13">
        <v>2021</v>
      </c>
      <c r="P9" s="13" t="s">
        <v>12</v>
      </c>
      <c r="Q9" s="14" t="s">
        <v>13</v>
      </c>
      <c r="R9" s="12">
        <v>2020</v>
      </c>
      <c r="S9" s="13">
        <v>2021</v>
      </c>
      <c r="T9" s="13" t="s">
        <v>12</v>
      </c>
      <c r="U9" s="14" t="s">
        <v>13</v>
      </c>
      <c r="V9" s="276">
        <v>2020</v>
      </c>
      <c r="W9" s="277">
        <v>2021</v>
      </c>
      <c r="X9" s="277" t="s">
        <v>12</v>
      </c>
      <c r="Y9" s="278" t="s">
        <v>13</v>
      </c>
      <c r="Z9" s="12">
        <v>2020</v>
      </c>
      <c r="AA9" s="13">
        <v>2021</v>
      </c>
      <c r="AB9" s="13" t="s">
        <v>12</v>
      </c>
      <c r="AC9" s="14" t="s">
        <v>13</v>
      </c>
      <c r="AD9" s="12">
        <v>2020</v>
      </c>
      <c r="AE9" s="13">
        <v>2021</v>
      </c>
      <c r="AF9" s="13" t="s">
        <v>12</v>
      </c>
      <c r="AG9" s="14" t="s">
        <v>13</v>
      </c>
      <c r="AH9" s="12">
        <v>2020</v>
      </c>
      <c r="AI9" s="13">
        <v>2021</v>
      </c>
      <c r="AJ9" s="13" t="s">
        <v>12</v>
      </c>
      <c r="AK9" s="14" t="s">
        <v>13</v>
      </c>
      <c r="AL9" s="12">
        <v>2020</v>
      </c>
      <c r="AM9" s="13">
        <v>2021</v>
      </c>
      <c r="AN9" s="13" t="s">
        <v>12</v>
      </c>
      <c r="AO9" s="14" t="s">
        <v>13</v>
      </c>
    </row>
    <row r="10" spans="1:41" x14ac:dyDescent="0.3">
      <c r="A10" s="1" t="s">
        <v>0</v>
      </c>
      <c r="B10" s="23">
        <v>25</v>
      </c>
      <c r="C10" s="24">
        <v>24</v>
      </c>
      <c r="D10" s="24">
        <f>C10-B10</f>
        <v>-1</v>
      </c>
      <c r="E10" s="17">
        <f>(C10-B10)/B10</f>
        <v>-0.04</v>
      </c>
      <c r="F10" s="15">
        <v>0.83035714285714302</v>
      </c>
      <c r="G10" s="16">
        <v>0.77380952380952395</v>
      </c>
      <c r="H10" s="16">
        <f>G10-F10</f>
        <v>-5.6547619047619069E-2</v>
      </c>
      <c r="I10" s="17">
        <f>(G10-F10)/F10</f>
        <v>-6.8100358422939086E-2</v>
      </c>
      <c r="J10" s="279">
        <v>21</v>
      </c>
      <c r="K10" s="280">
        <v>19</v>
      </c>
      <c r="L10" s="280">
        <f>K10-J10</f>
        <v>-2</v>
      </c>
      <c r="M10" s="281">
        <f>(K10-J10)/J10</f>
        <v>-9.5238095238095233E-2</v>
      </c>
      <c r="N10" s="61">
        <v>26539025.563929915</v>
      </c>
      <c r="O10" s="62">
        <v>27724945.695301954</v>
      </c>
      <c r="P10" s="62">
        <f>O10-N10</f>
        <v>1185920.1313720383</v>
      </c>
      <c r="Q10" s="17">
        <f>(O10-N10)/N10</f>
        <v>4.4685895814647478E-2</v>
      </c>
      <c r="R10" s="67">
        <v>8.7757840000000004E-2</v>
      </c>
      <c r="S10" s="68">
        <v>9.6984203333333324E-2</v>
      </c>
      <c r="T10" s="16">
        <f>S10-R10</f>
        <v>9.2263633333333206E-3</v>
      </c>
      <c r="U10" s="17">
        <f>(S10-R10)/R10</f>
        <v>0.10513434849049749</v>
      </c>
      <c r="V10" s="288">
        <v>2.1701854034937199E-2</v>
      </c>
      <c r="W10" s="289">
        <v>2.0933898138114415E-2</v>
      </c>
      <c r="X10" s="290">
        <f>W10-V10</f>
        <v>-7.6795589682278342E-4</v>
      </c>
      <c r="Y10" s="281">
        <f t="shared" ref="Y10:Y21" si="0">IFERROR((W10-V10)/ABS(V10),0)</f>
        <v>-3.5386649250634207E-2</v>
      </c>
      <c r="Z10" s="15">
        <v>284.17209360147655</v>
      </c>
      <c r="AA10" s="16">
        <v>306.76346712627208</v>
      </c>
      <c r="AB10" s="16">
        <f>AA10-Z10</f>
        <v>22.591373524795529</v>
      </c>
      <c r="AC10" s="17">
        <f>(AA10-Z10)/Z10</f>
        <v>7.9498916443490442E-2</v>
      </c>
      <c r="AD10" s="15">
        <v>1.6463826919393176</v>
      </c>
      <c r="AE10" s="16">
        <v>1.7113402479423863</v>
      </c>
      <c r="AF10" s="16">
        <f>AE10-AD10</f>
        <v>6.4957556003068628E-2</v>
      </c>
      <c r="AG10" s="17">
        <f>(AE10-AD10)/AD10</f>
        <v>3.9454712638258733E-2</v>
      </c>
      <c r="AH10" s="15">
        <v>28.280357142500002</v>
      </c>
      <c r="AI10" s="16">
        <v>29.498809523249999</v>
      </c>
      <c r="AJ10" s="16">
        <f>AI10-AH10</f>
        <v>1.2184523807499978</v>
      </c>
      <c r="AK10" s="17">
        <f>(AI10-AH10)/AH10</f>
        <v>4.308475931228236E-2</v>
      </c>
      <c r="AL10" s="15">
        <v>30.726466492499998</v>
      </c>
      <c r="AM10" s="16">
        <v>31.470912755000001</v>
      </c>
      <c r="AN10" s="16">
        <f>AM10-AL10</f>
        <v>0.74444626250000212</v>
      </c>
      <c r="AO10" s="17">
        <f>(AM10-AL10)/AL10</f>
        <v>2.422817679610877E-2</v>
      </c>
    </row>
    <row r="11" spans="1:41" x14ac:dyDescent="0.3">
      <c r="A11" s="1" t="s">
        <v>1</v>
      </c>
      <c r="B11" s="23">
        <v>28</v>
      </c>
      <c r="C11" s="24">
        <v>28</v>
      </c>
      <c r="D11" s="24">
        <f t="shared" ref="D11:D22" si="1">C11-B11</f>
        <v>0</v>
      </c>
      <c r="E11" s="17">
        <f t="shared" ref="E11:E22" si="2">(C11-B11)/B11</f>
        <v>0</v>
      </c>
      <c r="F11" s="15">
        <v>0.85714285714285698</v>
      </c>
      <c r="G11" s="16">
        <v>0.85714285714285698</v>
      </c>
      <c r="H11" s="16">
        <f t="shared" ref="H11:H22" si="3">G11-F11</f>
        <v>0</v>
      </c>
      <c r="I11" s="17">
        <f t="shared" ref="I11:I22" si="4">(G11-F11)/F11</f>
        <v>0</v>
      </c>
      <c r="J11" s="279">
        <v>24</v>
      </c>
      <c r="K11" s="280">
        <v>24</v>
      </c>
      <c r="L11" s="280">
        <f t="shared" ref="L11:L22" si="5">K11-J11</f>
        <v>0</v>
      </c>
      <c r="M11" s="281">
        <f t="shared" ref="M11:M22" si="6">(K11-J11)/J11</f>
        <v>0</v>
      </c>
      <c r="N11" s="61">
        <v>26539025.563929915</v>
      </c>
      <c r="O11" s="62">
        <v>27724945.695301954</v>
      </c>
      <c r="P11" s="62">
        <f t="shared" ref="P11:P22" si="7">O11-N11</f>
        <v>1185920.1313720383</v>
      </c>
      <c r="Q11" s="17">
        <f t="shared" ref="Q11:Q22" si="8">(O11-N11)/N11</f>
        <v>4.4685895814647478E-2</v>
      </c>
      <c r="R11" s="67">
        <v>8.7757840000000004E-2</v>
      </c>
      <c r="S11" s="68">
        <v>9.6984203333333324E-2</v>
      </c>
      <c r="T11" s="16">
        <f t="shared" ref="T11:T22" si="9">S11-R11</f>
        <v>9.2263633333333206E-3</v>
      </c>
      <c r="U11" s="17">
        <f t="shared" ref="U11:U22" si="10">(S11-R11)/R11</f>
        <v>0.10513434849049749</v>
      </c>
      <c r="V11" s="288">
        <v>9.7999999999999997E-3</v>
      </c>
      <c r="W11" s="289">
        <v>6.1272736044772902E-3</v>
      </c>
      <c r="X11" s="290">
        <f t="shared" ref="X11:X22" si="11">W11-V11</f>
        <v>-3.6727263955227095E-3</v>
      </c>
      <c r="Y11" s="281">
        <f t="shared" si="0"/>
        <v>-0.37476799954313361</v>
      </c>
      <c r="Z11" s="15">
        <v>287.53058545481906</v>
      </c>
      <c r="AA11" s="16">
        <v>314.91513151276001</v>
      </c>
      <c r="AB11" s="16">
        <f t="shared" ref="AB11:AB22" si="12">AA11-Z11</f>
        <v>27.384546057940952</v>
      </c>
      <c r="AC11" s="17">
        <f t="shared" ref="AC11:AC22" si="13">(AA11-Z11)/Z11</f>
        <v>9.5240462904576828E-2</v>
      </c>
      <c r="AD11" s="15">
        <v>1.6639996631003044</v>
      </c>
      <c r="AE11" s="16">
        <v>1.7363758428127598</v>
      </c>
      <c r="AF11" s="16">
        <f t="shared" ref="AF11:AF22" si="14">AE11-AD11</f>
        <v>7.2376179712455357E-2</v>
      </c>
      <c r="AG11" s="17">
        <f t="shared" ref="AG11:AG22" si="15">(AE11-AD11)/AD11</f>
        <v>4.3495309114189758E-2</v>
      </c>
      <c r="AH11" s="15">
        <v>30.110714285250001</v>
      </c>
      <c r="AI11" s="16">
        <v>30.189285714</v>
      </c>
      <c r="AJ11" s="16">
        <f t="shared" ref="AJ11:AJ22" si="16">AI11-AH11</f>
        <v>7.8571428749999228E-2</v>
      </c>
      <c r="AK11" s="17">
        <f t="shared" ref="AK11:AK22" si="17">(AI11-AH11)/AH11</f>
        <v>2.609417631400665E-3</v>
      </c>
      <c r="AL11" s="15">
        <v>30.926132602500001</v>
      </c>
      <c r="AM11" s="16">
        <v>31.744990274999999</v>
      </c>
      <c r="AN11" s="16">
        <f t="shared" ref="AN11:AN22" si="18">AM11-AL11</f>
        <v>0.8188576724999983</v>
      </c>
      <c r="AO11" s="17">
        <f t="shared" ref="AO11:AO22" si="19">(AM11-AL11)/AL11</f>
        <v>2.6477855573632365E-2</v>
      </c>
    </row>
    <row r="12" spans="1:41" x14ac:dyDescent="0.3">
      <c r="A12" s="1" t="s">
        <v>2</v>
      </c>
      <c r="B12" s="23">
        <v>35</v>
      </c>
      <c r="C12" s="24">
        <v>35</v>
      </c>
      <c r="D12" s="24">
        <f t="shared" si="1"/>
        <v>0</v>
      </c>
      <c r="E12" s="17">
        <f t="shared" si="2"/>
        <v>0</v>
      </c>
      <c r="F12" s="15">
        <v>0.85714285714285698</v>
      </c>
      <c r="G12" s="16">
        <v>0.8</v>
      </c>
      <c r="H12" s="16">
        <f t="shared" si="3"/>
        <v>-5.714285714285694E-2</v>
      </c>
      <c r="I12" s="17">
        <f t="shared" si="4"/>
        <v>-6.6666666666666444E-2</v>
      </c>
      <c r="J12" s="279">
        <v>30</v>
      </c>
      <c r="K12" s="280">
        <v>28</v>
      </c>
      <c r="L12" s="280">
        <f t="shared" si="5"/>
        <v>-2</v>
      </c>
      <c r="M12" s="281">
        <f t="shared" si="6"/>
        <v>-6.6666666666666666E-2</v>
      </c>
      <c r="N12" s="61">
        <v>26539025.563929915</v>
      </c>
      <c r="O12" s="62">
        <v>27724945.695301954</v>
      </c>
      <c r="P12" s="62">
        <f t="shared" si="7"/>
        <v>1185920.1313720383</v>
      </c>
      <c r="Q12" s="17">
        <f t="shared" si="8"/>
        <v>4.4685895814647478E-2</v>
      </c>
      <c r="R12" s="67">
        <v>8.7757840000000004E-2</v>
      </c>
      <c r="S12" s="68">
        <v>9.6984203333333324E-2</v>
      </c>
      <c r="T12" s="16">
        <f t="shared" si="9"/>
        <v>9.2263633333333206E-3</v>
      </c>
      <c r="U12" s="17">
        <f t="shared" si="10"/>
        <v>0.10513434849049749</v>
      </c>
      <c r="V12" s="288">
        <v>5.4999999999999997E-3</v>
      </c>
      <c r="W12" s="289">
        <v>1.3330775870336486E-2</v>
      </c>
      <c r="X12" s="290">
        <f t="shared" si="11"/>
        <v>7.8307758703364868E-3</v>
      </c>
      <c r="Y12" s="281">
        <f t="shared" si="0"/>
        <v>1.4237774309702704</v>
      </c>
      <c r="Z12" s="15">
        <v>290.64564496127855</v>
      </c>
      <c r="AA12" s="16">
        <v>314.04912527982754</v>
      </c>
      <c r="AB12" s="16">
        <f t="shared" si="12"/>
        <v>23.403480318548986</v>
      </c>
      <c r="AC12" s="17">
        <f t="shared" si="13"/>
        <v>8.0522384299503022E-2</v>
      </c>
      <c r="AD12" s="15">
        <v>1.6827667473391332</v>
      </c>
      <c r="AE12" s="16">
        <v>1.7495737418180768</v>
      </c>
      <c r="AF12" s="16">
        <f t="shared" si="14"/>
        <v>6.680699447894356E-2</v>
      </c>
      <c r="AG12" s="17">
        <f t="shared" si="15"/>
        <v>3.9700686137625313E-2</v>
      </c>
      <c r="AH12" s="15">
        <v>25.942857142400001</v>
      </c>
      <c r="AI12" s="16">
        <v>29.528571427999999</v>
      </c>
      <c r="AJ12" s="16">
        <f t="shared" si="16"/>
        <v>3.5857142855999982</v>
      </c>
      <c r="AK12" s="17">
        <f t="shared" si="17"/>
        <v>0.13821585902886716</v>
      </c>
      <c r="AL12" s="15">
        <v>28.206274698000001</v>
      </c>
      <c r="AM12" s="16">
        <v>30.783296016000001</v>
      </c>
      <c r="AN12" s="16">
        <f t="shared" si="18"/>
        <v>2.5770213179999999</v>
      </c>
      <c r="AO12" s="17">
        <f t="shared" si="19"/>
        <v>9.1363405681599161E-2</v>
      </c>
    </row>
    <row r="13" spans="1:41" x14ac:dyDescent="0.3">
      <c r="A13" s="1" t="s">
        <v>3</v>
      </c>
      <c r="B13" s="23">
        <v>28</v>
      </c>
      <c r="C13" s="24">
        <v>28</v>
      </c>
      <c r="D13" s="24">
        <f t="shared" si="1"/>
        <v>0</v>
      </c>
      <c r="E13" s="17">
        <f t="shared" si="2"/>
        <v>0</v>
      </c>
      <c r="F13" s="15">
        <v>0.78571428571428603</v>
      </c>
      <c r="G13" s="16">
        <v>0.78571428571428603</v>
      </c>
      <c r="H13" s="16">
        <f t="shared" si="3"/>
        <v>0</v>
      </c>
      <c r="I13" s="17">
        <f t="shared" si="4"/>
        <v>0</v>
      </c>
      <c r="J13" s="279">
        <v>22</v>
      </c>
      <c r="K13" s="280">
        <v>22</v>
      </c>
      <c r="L13" s="280">
        <f t="shared" si="5"/>
        <v>0</v>
      </c>
      <c r="M13" s="281">
        <f t="shared" si="6"/>
        <v>0</v>
      </c>
      <c r="N13" s="61">
        <v>24692340.806240637</v>
      </c>
      <c r="O13" s="62">
        <v>30084093.745664444</v>
      </c>
      <c r="P13" s="62">
        <f t="shared" si="7"/>
        <v>5391752.939423807</v>
      </c>
      <c r="Q13" s="17">
        <f t="shared" si="8"/>
        <v>0.21835730284676447</v>
      </c>
      <c r="R13" s="67">
        <v>8.8946869999999997E-2</v>
      </c>
      <c r="S13" s="68">
        <v>0.10033333333333333</v>
      </c>
      <c r="T13" s="16">
        <f t="shared" si="9"/>
        <v>1.1386463333333333E-2</v>
      </c>
      <c r="U13" s="17">
        <f t="shared" si="10"/>
        <v>0.12801421043071368</v>
      </c>
      <c r="V13" s="288">
        <v>4.3E-3</v>
      </c>
      <c r="W13" s="289">
        <v>1.9969714177550557E-2</v>
      </c>
      <c r="X13" s="290">
        <f t="shared" si="11"/>
        <v>1.5669714177550559E-2</v>
      </c>
      <c r="Y13" s="281">
        <f t="shared" si="0"/>
        <v>3.6441195761745484</v>
      </c>
      <c r="Z13" s="15">
        <v>293.10954234427356</v>
      </c>
      <c r="AA13" s="16">
        <v>314.04912527982754</v>
      </c>
      <c r="AB13" s="16">
        <f t="shared" si="12"/>
        <v>20.939582935553972</v>
      </c>
      <c r="AC13" s="17">
        <f t="shared" si="13"/>
        <v>7.1439444680239245E-2</v>
      </c>
      <c r="AD13" s="15">
        <v>1.6775803703980343</v>
      </c>
      <c r="AE13" s="16">
        <v>1.7495737418180768</v>
      </c>
      <c r="AF13" s="16">
        <f t="shared" si="14"/>
        <v>7.1993371420042473E-2</v>
      </c>
      <c r="AG13" s="17">
        <f t="shared" si="15"/>
        <v>4.2915005856298157E-2</v>
      </c>
      <c r="AH13" s="15">
        <v>24.999999999749999</v>
      </c>
      <c r="AI13" s="16">
        <v>24.73928571375</v>
      </c>
      <c r="AJ13" s="16">
        <f t="shared" si="16"/>
        <v>-0.26071428599999891</v>
      </c>
      <c r="AK13" s="17">
        <f t="shared" si="17"/>
        <v>-1.0428571440104242E-2</v>
      </c>
      <c r="AL13" s="15">
        <v>26.548912207499999</v>
      </c>
      <c r="AM13" s="16">
        <v>26.364061732500002</v>
      </c>
      <c r="AN13" s="16">
        <f t="shared" si="18"/>
        <v>-0.18485047499999752</v>
      </c>
      <c r="AO13" s="17">
        <f t="shared" si="19"/>
        <v>-6.9626383768664445E-3</v>
      </c>
    </row>
    <row r="14" spans="1:41" x14ac:dyDescent="0.3">
      <c r="A14" s="1" t="s">
        <v>4</v>
      </c>
      <c r="B14" s="23">
        <v>28</v>
      </c>
      <c r="C14" s="24">
        <v>28</v>
      </c>
      <c r="D14" s="24">
        <f t="shared" si="1"/>
        <v>0</v>
      </c>
      <c r="E14" s="17">
        <f t="shared" si="2"/>
        <v>0</v>
      </c>
      <c r="F14" s="15">
        <v>0.82142857142857095</v>
      </c>
      <c r="G14" s="16">
        <v>0.78571428571428603</v>
      </c>
      <c r="H14" s="16">
        <f t="shared" si="3"/>
        <v>-3.5714285714284921E-2</v>
      </c>
      <c r="I14" s="17">
        <f t="shared" si="4"/>
        <v>-4.3478260869564279E-2</v>
      </c>
      <c r="J14" s="279">
        <v>23</v>
      </c>
      <c r="K14" s="280">
        <v>22</v>
      </c>
      <c r="L14" s="280">
        <f t="shared" si="5"/>
        <v>-1</v>
      </c>
      <c r="M14" s="281">
        <f t="shared" si="6"/>
        <v>-4.3478260869565216E-2</v>
      </c>
      <c r="N14" s="61">
        <v>24692340.806240637</v>
      </c>
      <c r="O14" s="62">
        <v>30084093.745664444</v>
      </c>
      <c r="P14" s="62">
        <f t="shared" si="7"/>
        <v>5391752.939423807</v>
      </c>
      <c r="Q14" s="17">
        <f t="shared" si="8"/>
        <v>0.21835730284676447</v>
      </c>
      <c r="R14" s="67">
        <v>8.8946869999999997E-2</v>
      </c>
      <c r="S14" s="68">
        <v>0.10033333333333333</v>
      </c>
      <c r="T14" s="16">
        <f t="shared" si="9"/>
        <v>1.1386463333333333E-2</v>
      </c>
      <c r="U14" s="17">
        <f t="shared" si="10"/>
        <v>0.12801421043071368</v>
      </c>
      <c r="V14" s="288">
        <v>4.0000000000000001E-3</v>
      </c>
      <c r="W14" s="289">
        <v>5.6602022826390819E-3</v>
      </c>
      <c r="X14" s="290">
        <f t="shared" si="11"/>
        <v>1.6602022826390818E-3</v>
      </c>
      <c r="Y14" s="281">
        <f t="shared" si="0"/>
        <v>0.41505057065977041</v>
      </c>
      <c r="Z14" s="15">
        <v>292.92595393924427</v>
      </c>
      <c r="AA14" s="16">
        <v>314.04912527982754</v>
      </c>
      <c r="AB14" s="16">
        <f t="shared" si="12"/>
        <v>21.123171340583269</v>
      </c>
      <c r="AC14" s="17">
        <f t="shared" si="13"/>
        <v>7.2110958610941051E-2</v>
      </c>
      <c r="AD14" s="15">
        <v>1.6776668385382165</v>
      </c>
      <c r="AE14" s="16">
        <v>1.7495737418180768</v>
      </c>
      <c r="AF14" s="16">
        <f t="shared" si="14"/>
        <v>7.1906903279860268E-2</v>
      </c>
      <c r="AG14" s="17">
        <f t="shared" si="15"/>
        <v>4.2861253276314466E-2</v>
      </c>
      <c r="AH14" s="15">
        <v>20.946428571249999</v>
      </c>
      <c r="AI14" s="16">
        <v>21.914285713999998</v>
      </c>
      <c r="AJ14" s="16">
        <f t="shared" si="16"/>
        <v>0.9678571427499989</v>
      </c>
      <c r="AK14" s="17">
        <f t="shared" si="17"/>
        <v>4.6206308605679459E-2</v>
      </c>
      <c r="AL14" s="15">
        <v>21.863471244999999</v>
      </c>
      <c r="AM14" s="16">
        <v>23.355679117499999</v>
      </c>
      <c r="AN14" s="16">
        <f t="shared" si="18"/>
        <v>1.4922078724999999</v>
      </c>
      <c r="AO14" s="17">
        <f t="shared" si="19"/>
        <v>6.825118736994959E-2</v>
      </c>
    </row>
    <row r="15" spans="1:41" x14ac:dyDescent="0.3">
      <c r="A15" s="1" t="s">
        <v>5</v>
      </c>
      <c r="B15" s="23">
        <v>35</v>
      </c>
      <c r="C15" s="24">
        <v>35</v>
      </c>
      <c r="D15" s="24">
        <f t="shared" si="1"/>
        <v>0</v>
      </c>
      <c r="E15" s="17">
        <f t="shared" si="2"/>
        <v>0</v>
      </c>
      <c r="F15" s="15">
        <v>0.85714285714285698</v>
      </c>
      <c r="G15" s="16">
        <v>0.85714285714285698</v>
      </c>
      <c r="H15" s="16">
        <f t="shared" si="3"/>
        <v>0</v>
      </c>
      <c r="I15" s="17">
        <f t="shared" si="4"/>
        <v>0</v>
      </c>
      <c r="J15" s="279">
        <v>30</v>
      </c>
      <c r="K15" s="280">
        <v>30</v>
      </c>
      <c r="L15" s="280">
        <f t="shared" si="5"/>
        <v>0</v>
      </c>
      <c r="M15" s="281">
        <f t="shared" si="6"/>
        <v>0</v>
      </c>
      <c r="N15" s="61">
        <v>24692340.806240637</v>
      </c>
      <c r="O15" s="62">
        <v>30084093.745664444</v>
      </c>
      <c r="P15" s="62">
        <f t="shared" si="7"/>
        <v>5391752.939423807</v>
      </c>
      <c r="Q15" s="17">
        <f t="shared" si="8"/>
        <v>0.21835730284676447</v>
      </c>
      <c r="R15" s="67">
        <v>8.8946869999999997E-2</v>
      </c>
      <c r="S15" s="68">
        <v>0.10033333333333333</v>
      </c>
      <c r="T15" s="16">
        <f t="shared" si="9"/>
        <v>1.1386463333333333E-2</v>
      </c>
      <c r="U15" s="17">
        <f t="shared" si="10"/>
        <v>0.12801421043071368</v>
      </c>
      <c r="V15" s="288">
        <v>6.404016599210971E-3</v>
      </c>
      <c r="W15" s="289">
        <v>1.8453589223099698E-4</v>
      </c>
      <c r="X15" s="290">
        <f t="shared" si="11"/>
        <v>-6.219480706979974E-3</v>
      </c>
      <c r="Y15" s="281">
        <f t="shared" si="0"/>
        <v>-0.97118435135634507</v>
      </c>
      <c r="Z15" s="15">
        <v>295.38779643124519</v>
      </c>
      <c r="AA15" s="16">
        <v>314.04912527982754</v>
      </c>
      <c r="AB15" s="16">
        <f t="shared" si="12"/>
        <v>18.661328848582343</v>
      </c>
      <c r="AC15" s="17">
        <f t="shared" si="13"/>
        <v>6.3175693356465307E-2</v>
      </c>
      <c r="AD15" s="15">
        <v>1.6848032973528537</v>
      </c>
      <c r="AE15" s="16">
        <v>1.7495737418180768</v>
      </c>
      <c r="AF15" s="16">
        <f t="shared" si="14"/>
        <v>6.4770444465223065E-2</v>
      </c>
      <c r="AG15" s="17">
        <f t="shared" si="15"/>
        <v>3.8443920763325749E-2</v>
      </c>
      <c r="AH15" s="15">
        <v>19.254285713800002</v>
      </c>
      <c r="AI15" s="16">
        <v>18.199999999799999</v>
      </c>
      <c r="AJ15" s="16">
        <f t="shared" si="16"/>
        <v>-1.0542857140000024</v>
      </c>
      <c r="AK15" s="17">
        <f t="shared" si="17"/>
        <v>-5.4755898487803725E-2</v>
      </c>
      <c r="AL15" s="15">
        <v>17.837220252000002</v>
      </c>
      <c r="AM15" s="16">
        <v>20.273258802000001</v>
      </c>
      <c r="AN15" s="16">
        <f t="shared" si="18"/>
        <v>2.4360385499999992</v>
      </c>
      <c r="AO15" s="17">
        <f t="shared" si="19"/>
        <v>0.13657052587702717</v>
      </c>
    </row>
    <row r="16" spans="1:41" x14ac:dyDescent="0.3">
      <c r="A16" s="1" t="s">
        <v>6</v>
      </c>
      <c r="B16" s="23">
        <v>28</v>
      </c>
      <c r="C16" s="24">
        <v>28</v>
      </c>
      <c r="D16" s="24">
        <f t="shared" si="1"/>
        <v>0</v>
      </c>
      <c r="E16" s="17">
        <f t="shared" si="2"/>
        <v>0</v>
      </c>
      <c r="F16" s="15">
        <v>0.85714285714285698</v>
      </c>
      <c r="G16" s="16">
        <v>0.82142857142857095</v>
      </c>
      <c r="H16" s="16">
        <f t="shared" si="3"/>
        <v>-3.5714285714286031E-2</v>
      </c>
      <c r="I16" s="17">
        <f t="shared" si="4"/>
        <v>-4.1666666666667046E-2</v>
      </c>
      <c r="J16" s="279">
        <v>24</v>
      </c>
      <c r="K16" s="280">
        <v>23</v>
      </c>
      <c r="L16" s="280">
        <f t="shared" si="5"/>
        <v>-1</v>
      </c>
      <c r="M16" s="281">
        <f t="shared" si="6"/>
        <v>-4.1666666666666664E-2</v>
      </c>
      <c r="N16" s="61">
        <v>29855093.774423201</v>
      </c>
      <c r="O16" s="62">
        <v>29462154.457021378</v>
      </c>
      <c r="P16" s="62">
        <f t="shared" si="7"/>
        <v>-392939.31740182266</v>
      </c>
      <c r="Q16" s="17">
        <f t="shared" si="8"/>
        <v>-1.31615502657859E-2</v>
      </c>
      <c r="R16" s="67">
        <v>9.2100130000000002E-2</v>
      </c>
      <c r="S16" s="68">
        <v>0.10666666666666667</v>
      </c>
      <c r="T16" s="16">
        <f t="shared" si="9"/>
        <v>1.4566536666666671E-2</v>
      </c>
      <c r="U16" s="17">
        <f t="shared" si="10"/>
        <v>0.15815978399451414</v>
      </c>
      <c r="V16" s="288">
        <v>7.6359193646913237E-3</v>
      </c>
      <c r="W16" s="289">
        <v>5.4889298892988325E-3</v>
      </c>
      <c r="X16" s="290">
        <f t="shared" si="11"/>
        <v>-2.1469894753924912E-3</v>
      </c>
      <c r="Y16" s="281">
        <f t="shared" si="0"/>
        <v>-0.28116974169740744</v>
      </c>
      <c r="Z16" s="15">
        <v>295.99683994311897</v>
      </c>
      <c r="AA16" s="16">
        <v>314.04912527982754</v>
      </c>
      <c r="AB16" s="16">
        <f t="shared" si="12"/>
        <v>18.052285336708565</v>
      </c>
      <c r="AC16" s="17">
        <f t="shared" si="13"/>
        <v>6.0988101562765434E-2</v>
      </c>
      <c r="AD16" s="15">
        <v>1.6801328914217029</v>
      </c>
      <c r="AE16" s="16">
        <v>1.7495737418180768</v>
      </c>
      <c r="AF16" s="16">
        <f t="shared" si="14"/>
        <v>6.9440850396373932E-2</v>
      </c>
      <c r="AG16" s="17">
        <f t="shared" si="15"/>
        <v>4.1330570189370044E-2</v>
      </c>
      <c r="AH16" s="15">
        <v>16.142857142499999</v>
      </c>
      <c r="AI16" s="16">
        <v>15.746428570999999</v>
      </c>
      <c r="AJ16" s="16">
        <f t="shared" si="16"/>
        <v>-0.39642857149999955</v>
      </c>
      <c r="AK16" s="17">
        <f t="shared" si="17"/>
        <v>-2.4557522128861867E-2</v>
      </c>
      <c r="AL16" s="15">
        <v>16.7924351375</v>
      </c>
      <c r="AM16" s="16">
        <v>14.834197359999999</v>
      </c>
      <c r="AN16" s="16">
        <f t="shared" si="18"/>
        <v>-1.9582377775000008</v>
      </c>
      <c r="AO16" s="17">
        <f t="shared" si="19"/>
        <v>-0.11661428264962985</v>
      </c>
    </row>
    <row r="17" spans="1:41" x14ac:dyDescent="0.3">
      <c r="A17" s="1" t="s">
        <v>7</v>
      </c>
      <c r="B17" s="23">
        <v>28</v>
      </c>
      <c r="C17" s="24">
        <v>28</v>
      </c>
      <c r="D17" s="24">
        <f t="shared" si="1"/>
        <v>0</v>
      </c>
      <c r="E17" s="17">
        <f t="shared" si="2"/>
        <v>0</v>
      </c>
      <c r="F17" s="15">
        <v>0.85714285714285698</v>
      </c>
      <c r="G17" s="16">
        <v>0.85714285714285698</v>
      </c>
      <c r="H17" s="16">
        <f t="shared" si="3"/>
        <v>0</v>
      </c>
      <c r="I17" s="17">
        <f t="shared" si="4"/>
        <v>0</v>
      </c>
      <c r="J17" s="279">
        <v>24</v>
      </c>
      <c r="K17" s="280">
        <v>24</v>
      </c>
      <c r="L17" s="280">
        <f t="shared" si="5"/>
        <v>0</v>
      </c>
      <c r="M17" s="281">
        <f t="shared" si="6"/>
        <v>0</v>
      </c>
      <c r="N17" s="61">
        <v>29855093.774423201</v>
      </c>
      <c r="O17" s="62">
        <v>29462154.457021378</v>
      </c>
      <c r="P17" s="62">
        <f t="shared" si="7"/>
        <v>-392939.31740182266</v>
      </c>
      <c r="Q17" s="17">
        <f t="shared" si="8"/>
        <v>-1.31615502657859E-2</v>
      </c>
      <c r="R17" s="67">
        <v>9.2100130000000002E-2</v>
      </c>
      <c r="S17" s="68">
        <v>0.10666666666666667</v>
      </c>
      <c r="T17" s="16">
        <f t="shared" si="9"/>
        <v>1.4566536666666671E-2</v>
      </c>
      <c r="U17" s="17">
        <f t="shared" si="10"/>
        <v>0.15815978399451414</v>
      </c>
      <c r="V17" s="288">
        <v>8.8410629483681724E-3</v>
      </c>
      <c r="W17" s="289">
        <v>5.7342079911921751E-3</v>
      </c>
      <c r="X17" s="290">
        <f t="shared" si="11"/>
        <v>-3.1068549571759974E-3</v>
      </c>
      <c r="Y17" s="281">
        <f t="shared" si="0"/>
        <v>-0.3514119258419533</v>
      </c>
      <c r="Z17" s="15">
        <v>300.45948643590566</v>
      </c>
      <c r="AA17" s="16">
        <v>315.61937090622666</v>
      </c>
      <c r="AB17" s="16">
        <f t="shared" si="12"/>
        <v>15.159884470321003</v>
      </c>
      <c r="AC17" s="17">
        <f t="shared" si="13"/>
        <v>5.0455669248955219E-2</v>
      </c>
      <c r="AD17" s="15">
        <v>1.7015046518454062</v>
      </c>
      <c r="AE17" s="16">
        <v>1.7583216105271671</v>
      </c>
      <c r="AF17" s="16">
        <f t="shared" si="14"/>
        <v>5.6816958681760843E-2</v>
      </c>
      <c r="AG17" s="17">
        <f t="shared" si="15"/>
        <v>3.339218533439723E-2</v>
      </c>
      <c r="AH17" s="15">
        <v>16.292857142500001</v>
      </c>
      <c r="AI17" s="16">
        <v>18.699999999749998</v>
      </c>
      <c r="AJ17" s="16">
        <f t="shared" si="16"/>
        <v>2.4071428572499975</v>
      </c>
      <c r="AK17" s="17">
        <f t="shared" si="17"/>
        <v>0.14774221833511036</v>
      </c>
      <c r="AL17" s="15">
        <v>18.092583757500002</v>
      </c>
      <c r="AM17" s="16">
        <v>19.052669989999998</v>
      </c>
      <c r="AN17" s="16">
        <f t="shared" si="18"/>
        <v>0.96008623249999658</v>
      </c>
      <c r="AO17" s="17">
        <f t="shared" si="19"/>
        <v>5.3065181035959426E-2</v>
      </c>
    </row>
    <row r="18" spans="1:41" x14ac:dyDescent="0.3">
      <c r="A18" s="1" t="s">
        <v>8</v>
      </c>
      <c r="B18" s="23">
        <v>35</v>
      </c>
      <c r="C18" s="24">
        <v>35</v>
      </c>
      <c r="D18" s="24">
        <f t="shared" si="1"/>
        <v>0</v>
      </c>
      <c r="E18" s="17">
        <f t="shared" si="2"/>
        <v>0</v>
      </c>
      <c r="F18" s="15">
        <v>0.85714285714285698</v>
      </c>
      <c r="G18" s="16">
        <v>0.77142857142857102</v>
      </c>
      <c r="H18" s="16">
        <f t="shared" si="3"/>
        <v>-8.5714285714285965E-2</v>
      </c>
      <c r="I18" s="17">
        <f t="shared" si="4"/>
        <v>-0.10000000000000031</v>
      </c>
      <c r="J18" s="279">
        <v>30</v>
      </c>
      <c r="K18" s="280">
        <v>27</v>
      </c>
      <c r="L18" s="280">
        <f t="shared" si="5"/>
        <v>-3</v>
      </c>
      <c r="M18" s="281">
        <f t="shared" si="6"/>
        <v>-0.1</v>
      </c>
      <c r="N18" s="61">
        <v>29855093.774423201</v>
      </c>
      <c r="O18" s="62">
        <v>29462154.457021378</v>
      </c>
      <c r="P18" s="62">
        <f t="shared" si="7"/>
        <v>-392939.31740182266</v>
      </c>
      <c r="Q18" s="17">
        <f t="shared" si="8"/>
        <v>-1.31615502657859E-2</v>
      </c>
      <c r="R18" s="67">
        <v>9.2100130000000002E-2</v>
      </c>
      <c r="S18" s="68">
        <v>0.10666666666666667</v>
      </c>
      <c r="T18" s="16">
        <f t="shared" si="9"/>
        <v>1.4566536666666671E-2</v>
      </c>
      <c r="U18" s="17">
        <f t="shared" si="10"/>
        <v>0.15815978399451414</v>
      </c>
      <c r="V18" s="288">
        <v>5.1579948920827956E-3</v>
      </c>
      <c r="W18" s="289">
        <v>6.4000000000000003E-3</v>
      </c>
      <c r="X18" s="290">
        <f t="shared" si="11"/>
        <v>1.2420051079172047E-3</v>
      </c>
      <c r="Y18" s="281">
        <f t="shared" si="0"/>
        <v>0.2407922330096926</v>
      </c>
      <c r="Z18" s="15">
        <v>302.90552546462322</v>
      </c>
      <c r="AA18" s="16">
        <v>317.19746776075777</v>
      </c>
      <c r="AB18" s="16">
        <f t="shared" si="12"/>
        <v>14.29194229613455</v>
      </c>
      <c r="AC18" s="17">
        <f t="shared" si="13"/>
        <v>4.7182837864090818E-2</v>
      </c>
      <c r="AD18" s="15">
        <v>1.7073873060085167</v>
      </c>
      <c r="AE18" s="16">
        <v>1.7583216105271671</v>
      </c>
      <c r="AF18" s="16">
        <f t="shared" si="14"/>
        <v>5.0934304518650331E-2</v>
      </c>
      <c r="AG18" s="17">
        <f t="shared" si="15"/>
        <v>2.9831722620524311E-2</v>
      </c>
      <c r="AH18" s="15">
        <v>19.934285713600001</v>
      </c>
      <c r="AI18" s="16">
        <v>19.4857142852</v>
      </c>
      <c r="AJ18" s="16">
        <f t="shared" si="16"/>
        <v>-0.44857142840000108</v>
      </c>
      <c r="AK18" s="17">
        <f t="shared" si="17"/>
        <v>-2.2502508233538908E-2</v>
      </c>
      <c r="AL18" s="15">
        <v>20.036474510000001</v>
      </c>
      <c r="AM18" s="16">
        <v>20.864757116</v>
      </c>
      <c r="AN18" s="16">
        <f t="shared" si="18"/>
        <v>0.82828260599999837</v>
      </c>
      <c r="AO18" s="17">
        <f t="shared" si="19"/>
        <v>4.1338739786114118E-2</v>
      </c>
    </row>
    <row r="19" spans="1:41" x14ac:dyDescent="0.3">
      <c r="A19" s="1" t="s">
        <v>9</v>
      </c>
      <c r="B19" s="23">
        <v>28</v>
      </c>
      <c r="C19" s="24">
        <v>28</v>
      </c>
      <c r="D19" s="24">
        <f t="shared" si="1"/>
        <v>0</v>
      </c>
      <c r="E19" s="17">
        <f t="shared" si="2"/>
        <v>0</v>
      </c>
      <c r="F19" s="15">
        <v>0.85714285714285698</v>
      </c>
      <c r="G19" s="16">
        <v>0.85714285714285698</v>
      </c>
      <c r="H19" s="16">
        <f t="shared" si="3"/>
        <v>0</v>
      </c>
      <c r="I19" s="17">
        <f t="shared" si="4"/>
        <v>0</v>
      </c>
      <c r="J19" s="279">
        <v>24</v>
      </c>
      <c r="K19" s="280">
        <v>24</v>
      </c>
      <c r="L19" s="280">
        <f t="shared" si="5"/>
        <v>0</v>
      </c>
      <c r="M19" s="281">
        <f t="shared" si="6"/>
        <v>0</v>
      </c>
      <c r="N19" s="61">
        <v>31501188.031759214</v>
      </c>
      <c r="O19" s="62">
        <v>31173157.028191093</v>
      </c>
      <c r="P19" s="62">
        <f t="shared" si="7"/>
        <v>-328031.0035681203</v>
      </c>
      <c r="Q19" s="17">
        <f t="shared" si="8"/>
        <v>-1.0413289912666226E-2</v>
      </c>
      <c r="R19" s="67">
        <v>8.8156060000000008E-2</v>
      </c>
      <c r="S19" s="68">
        <v>0.10000000000000002</v>
      </c>
      <c r="T19" s="16">
        <f t="shared" si="9"/>
        <v>1.1843940000000011E-2</v>
      </c>
      <c r="U19" s="17">
        <f t="shared" si="10"/>
        <v>0.13435196627435494</v>
      </c>
      <c r="V19" s="288">
        <v>7.5229174970106172E-3</v>
      </c>
      <c r="W19" s="289">
        <v>5.7999999999999996E-3</v>
      </c>
      <c r="X19" s="290">
        <f t="shared" si="11"/>
        <v>-1.7229174970106176E-3</v>
      </c>
      <c r="Y19" s="281">
        <f t="shared" si="0"/>
        <v>-0.22902251655627667</v>
      </c>
      <c r="Z19" s="15">
        <v>305.1900027532198</v>
      </c>
      <c r="AA19" s="16">
        <v>317.19746776075777</v>
      </c>
      <c r="AB19" s="16">
        <f t="shared" si="12"/>
        <v>12.007465007537974</v>
      </c>
      <c r="AC19" s="17">
        <f t="shared" si="13"/>
        <v>3.9344227855482375E-2</v>
      </c>
      <c r="AD19" s="15">
        <v>1.7240377629101831</v>
      </c>
      <c r="AE19" s="16">
        <v>1.749573741818077</v>
      </c>
      <c r="AF19" s="16">
        <f t="shared" si="14"/>
        <v>2.5535978907893941E-2</v>
      </c>
      <c r="AG19" s="17">
        <f t="shared" si="15"/>
        <v>1.4811728291142011E-2</v>
      </c>
      <c r="AH19" s="15">
        <v>22.546428571</v>
      </c>
      <c r="AI19" s="16">
        <v>23.26071428525</v>
      </c>
      <c r="AJ19" s="16">
        <f t="shared" si="16"/>
        <v>0.71428571424999987</v>
      </c>
      <c r="AK19" s="17">
        <f t="shared" si="17"/>
        <v>3.1680658956724478E-2</v>
      </c>
      <c r="AL19" s="15">
        <v>24.820115272500001</v>
      </c>
      <c r="AM19" s="16">
        <v>25.516777367500001</v>
      </c>
      <c r="AN19" s="16">
        <f t="shared" si="18"/>
        <v>0.69666209500000065</v>
      </c>
      <c r="AO19" s="17">
        <f t="shared" si="19"/>
        <v>2.8068447199029851E-2</v>
      </c>
    </row>
    <row r="20" spans="1:41" x14ac:dyDescent="0.3">
      <c r="A20" s="1" t="s">
        <v>10</v>
      </c>
      <c r="B20" s="23">
        <v>28</v>
      </c>
      <c r="C20" s="24">
        <v>28</v>
      </c>
      <c r="D20" s="24">
        <f t="shared" si="1"/>
        <v>0</v>
      </c>
      <c r="E20" s="17">
        <f t="shared" si="2"/>
        <v>0</v>
      </c>
      <c r="F20" s="15">
        <v>0.78571428571428603</v>
      </c>
      <c r="G20" s="16">
        <v>0.82142857142857095</v>
      </c>
      <c r="H20" s="16">
        <f t="shared" si="3"/>
        <v>3.5714285714284921E-2</v>
      </c>
      <c r="I20" s="17">
        <f t="shared" si="4"/>
        <v>4.5454545454544429E-2</v>
      </c>
      <c r="J20" s="279">
        <v>22</v>
      </c>
      <c r="K20" s="280">
        <v>23</v>
      </c>
      <c r="L20" s="280">
        <f t="shared" si="5"/>
        <v>1</v>
      </c>
      <c r="M20" s="281">
        <f t="shared" si="6"/>
        <v>4.5454545454545456E-2</v>
      </c>
      <c r="N20" s="61">
        <v>31501188.031759214</v>
      </c>
      <c r="O20" s="62">
        <v>31173157.028191093</v>
      </c>
      <c r="P20" s="62">
        <f t="shared" si="7"/>
        <v>-328031.0035681203</v>
      </c>
      <c r="Q20" s="17">
        <f t="shared" si="8"/>
        <v>-1.0413289912666226E-2</v>
      </c>
      <c r="R20" s="67">
        <v>8.8156060000000008E-2</v>
      </c>
      <c r="S20" s="68">
        <v>0.10000000000000002</v>
      </c>
      <c r="T20" s="16">
        <f t="shared" si="9"/>
        <v>1.1843940000000011E-2</v>
      </c>
      <c r="U20" s="17">
        <f t="shared" si="10"/>
        <v>0.13435196627435494</v>
      </c>
      <c r="V20" s="288">
        <v>4.2031350442566229E-3</v>
      </c>
      <c r="W20" s="289">
        <v>4.0335941882388097E-3</v>
      </c>
      <c r="X20" s="290">
        <f t="shared" si="11"/>
        <v>-1.695408560178132E-4</v>
      </c>
      <c r="Y20" s="281">
        <f t="shared" si="0"/>
        <v>-4.03367615440961E-2</v>
      </c>
      <c r="Z20" s="15">
        <v>309.78090671316471</v>
      </c>
      <c r="AA20" s="16">
        <v>318.78345509956154</v>
      </c>
      <c r="AB20" s="16">
        <f t="shared" si="12"/>
        <v>9.0025483863968248</v>
      </c>
      <c r="AC20" s="17">
        <f t="shared" si="13"/>
        <v>2.9061017613756776E-2</v>
      </c>
      <c r="AD20" s="15">
        <v>1.7406907215530767</v>
      </c>
      <c r="AE20" s="16">
        <v>1.7583216105271673</v>
      </c>
      <c r="AF20" s="16">
        <f t="shared" si="14"/>
        <v>1.7630888974090597E-2</v>
      </c>
      <c r="AG20" s="17">
        <f t="shared" si="15"/>
        <v>1.0128674069314272E-2</v>
      </c>
      <c r="AH20" s="15">
        <v>27.26071428525</v>
      </c>
      <c r="AI20" s="16">
        <v>24.324999999749998</v>
      </c>
      <c r="AJ20" s="16">
        <f t="shared" si="16"/>
        <v>-2.9357142855000014</v>
      </c>
      <c r="AK20" s="17">
        <f t="shared" si="17"/>
        <v>-0.10769029214646929</v>
      </c>
      <c r="AL20" s="15">
        <v>27.9213897775</v>
      </c>
      <c r="AM20" s="16">
        <v>27.950078722499999</v>
      </c>
      <c r="AN20" s="16">
        <f t="shared" si="18"/>
        <v>2.8688944999998967E-2</v>
      </c>
      <c r="AO20" s="17">
        <f t="shared" si="19"/>
        <v>1.027489864530937E-3</v>
      </c>
    </row>
    <row r="21" spans="1:41" ht="15" thickBot="1" x14ac:dyDescent="0.35">
      <c r="A21" s="1" t="s">
        <v>11</v>
      </c>
      <c r="B21" s="187">
        <v>39</v>
      </c>
      <c r="C21" s="188">
        <v>41</v>
      </c>
      <c r="D21" s="188">
        <f t="shared" si="1"/>
        <v>2</v>
      </c>
      <c r="E21" s="189">
        <f t="shared" si="2"/>
        <v>5.128205128205128E-2</v>
      </c>
      <c r="F21" s="190">
        <v>0.831168831168831</v>
      </c>
      <c r="G21" s="147">
        <v>0.83956043956044002</v>
      </c>
      <c r="H21" s="147">
        <f t="shared" si="3"/>
        <v>8.3916083916090178E-3</v>
      </c>
      <c r="I21" s="189">
        <f t="shared" si="4"/>
        <v>1.0096153846154601E-2</v>
      </c>
      <c r="J21" s="282">
        <v>32</v>
      </c>
      <c r="K21" s="283">
        <v>34</v>
      </c>
      <c r="L21" s="283">
        <f t="shared" si="5"/>
        <v>2</v>
      </c>
      <c r="M21" s="284">
        <f t="shared" si="6"/>
        <v>6.25E-2</v>
      </c>
      <c r="N21" s="219">
        <v>31501188.031759214</v>
      </c>
      <c r="O21" s="220">
        <v>31173157.028191093</v>
      </c>
      <c r="P21" s="220">
        <f t="shared" si="7"/>
        <v>-328031.0035681203</v>
      </c>
      <c r="Q21" s="189">
        <f t="shared" si="8"/>
        <v>-1.0413289912666226E-2</v>
      </c>
      <c r="R21" s="243">
        <v>8.8156060000000008E-2</v>
      </c>
      <c r="S21" s="244">
        <v>0.10000000000000002</v>
      </c>
      <c r="T21" s="147">
        <f t="shared" si="9"/>
        <v>1.1843940000000011E-2</v>
      </c>
      <c r="U21" s="189">
        <f t="shared" si="10"/>
        <v>0.13435196627435494</v>
      </c>
      <c r="V21" s="291">
        <v>-2.9545006893827441E-4</v>
      </c>
      <c r="W21" s="292">
        <v>5.0000000000000001E-3</v>
      </c>
      <c r="X21" s="293">
        <f t="shared" si="11"/>
        <v>5.2954500689382745E-3</v>
      </c>
      <c r="Y21" s="284">
        <f t="shared" si="0"/>
        <v>17.923333333337631</v>
      </c>
      <c r="Z21" s="190">
        <v>306.67599445460905</v>
      </c>
      <c r="AA21" s="147">
        <v>320.37737237505934</v>
      </c>
      <c r="AB21" s="147">
        <f t="shared" si="12"/>
        <v>13.701377920450284</v>
      </c>
      <c r="AC21" s="189">
        <f t="shared" si="13"/>
        <v>4.467704733400063E-2</v>
      </c>
      <c r="AD21" s="190">
        <v>1.7157331343085038</v>
      </c>
      <c r="AE21" s="147">
        <v>1.7583216105271675</v>
      </c>
      <c r="AF21" s="147">
        <f t="shared" si="14"/>
        <v>4.2588476218663684E-2</v>
      </c>
      <c r="AG21" s="189">
        <f t="shared" si="15"/>
        <v>2.4822319606147971E-2</v>
      </c>
      <c r="AH21" s="190">
        <v>28.8199999996</v>
      </c>
      <c r="AI21" s="147">
        <v>28.932527472</v>
      </c>
      <c r="AJ21" s="147">
        <f t="shared" si="16"/>
        <v>0.11252747240000005</v>
      </c>
      <c r="AK21" s="189">
        <f t="shared" si="17"/>
        <v>3.9044924497419098E-3</v>
      </c>
      <c r="AL21" s="190">
        <v>30.695088972000001</v>
      </c>
      <c r="AM21" s="147">
        <v>29.210975754</v>
      </c>
      <c r="AN21" s="147">
        <f t="shared" si="18"/>
        <v>-1.484113218000001</v>
      </c>
      <c r="AO21" s="189">
        <f t="shared" si="19"/>
        <v>-4.835018459642864E-2</v>
      </c>
    </row>
    <row r="22" spans="1:41" ht="15" thickBot="1" x14ac:dyDescent="0.35">
      <c r="A22" s="4" t="s">
        <v>15</v>
      </c>
      <c r="B22" s="198">
        <f>SUM(B10:B21)</f>
        <v>365</v>
      </c>
      <c r="C22" s="199">
        <f>SUM(C10:C21)</f>
        <v>366</v>
      </c>
      <c r="D22" s="199">
        <f t="shared" si="1"/>
        <v>1</v>
      </c>
      <c r="E22" s="200">
        <f t="shared" si="2"/>
        <v>2.7397260273972603E-3</v>
      </c>
      <c r="F22" s="201">
        <f>(4*SUM(F10:F11,F13:F14,F16:F17,F19:F20)+5*SUM(F12,F15,F18,F21))/52</f>
        <v>0.83884865134865128</v>
      </c>
      <c r="G22" s="202">
        <f>(4*SUM(G10:G11,G13:G14,G16:G17,G19:G20)+5*SUM(G12,G15,G18,G21))/52</f>
        <v>0.81882220343758783</v>
      </c>
      <c r="H22" s="202">
        <f t="shared" si="3"/>
        <v>-2.002644791106345E-2</v>
      </c>
      <c r="I22" s="200">
        <f t="shared" si="4"/>
        <v>-2.3873732024085763E-2</v>
      </c>
      <c r="J22" s="285">
        <f>SUM(J10:J21)</f>
        <v>306</v>
      </c>
      <c r="K22" s="286">
        <f>SUM(K10:K21)</f>
        <v>300</v>
      </c>
      <c r="L22" s="286">
        <f t="shared" si="5"/>
        <v>-6</v>
      </c>
      <c r="M22" s="287">
        <f t="shared" si="6"/>
        <v>-1.9607843137254902E-2</v>
      </c>
      <c r="N22" s="222">
        <f>(4*SUM(N10:N11,N13:N14,N16:N17,N19:N20)+5*SUM(N12,N15,N18,N21))/52</f>
        <v>28146912.044088237</v>
      </c>
      <c r="O22" s="223">
        <f>(4*SUM(O10:O11,O13:O14,O16:O17,O19:O20)+5*SUM(O12,O15,O18,O21))/52</f>
        <v>29611087.731544718</v>
      </c>
      <c r="P22" s="223">
        <f t="shared" si="7"/>
        <v>1464175.6874564812</v>
      </c>
      <c r="Q22" s="200">
        <f t="shared" si="8"/>
        <v>5.2019052220117531E-2</v>
      </c>
      <c r="R22" s="238">
        <f>(4*SUM(R10:R11,R13:R14,R16:R17,R19:R20)+5*SUM(R12,R15,R18,R21))/52</f>
        <v>8.9240225000000006E-2</v>
      </c>
      <c r="S22" s="239">
        <f>(4*SUM(S10:S11,S13:S14,S16:S17,S19:S20)+5*SUM(S12,S15,S18,S21))/52</f>
        <v>0.10099605083333334</v>
      </c>
      <c r="T22" s="202">
        <f t="shared" si="9"/>
        <v>1.175582583333333E-2</v>
      </c>
      <c r="U22" s="200">
        <f t="shared" si="10"/>
        <v>0.13173236433831637</v>
      </c>
      <c r="V22" s="294">
        <f>PRODUCT((1+V10),(1+V11),(1+V12),(1+V13),(1+V14),(1+V15),(1+V16),(1+V17),(1+V18),(1+V19),(1+V20),(1+V21))-1</f>
        <v>8.7977859854416307E-2</v>
      </c>
      <c r="W22" s="295">
        <f>PRODUCT((1+W10),(1+W11),(1+W12),(1+W13),(1+W14),(1+W15),(1+W16),(1+W17),(1+W18),(1+W19),(1+W20),(1+W21))-1</f>
        <v>0.10300513760691943</v>
      </c>
      <c r="X22" s="296">
        <f t="shared" si="11"/>
        <v>1.5027277752503121E-2</v>
      </c>
      <c r="Y22" s="287">
        <f t="shared" ref="Y22" si="20">(W22-V22)/V22</f>
        <v>0.17080749381003252</v>
      </c>
      <c r="Z22" s="201">
        <f>(4*SUM(Z10:Z11,Z13:Z14,Z16:Z17,Z19:Z20)+5*SUM(Z12,Z15,Z18,Z21))/52</f>
        <v>297.20647021730133</v>
      </c>
      <c r="AA22" s="202">
        <f>(4*SUM(AA10:AA11,AA13:AA14,AA16:AA17,AA19:AA20)+5*SUM(AA12,AA15,AA18,AA21))/52</f>
        <v>315.19366397033849</v>
      </c>
      <c r="AB22" s="202">
        <f t="shared" si="12"/>
        <v>17.987193753037161</v>
      </c>
      <c r="AC22" s="200">
        <f t="shared" si="13"/>
        <v>6.0520868673841106E-2</v>
      </c>
      <c r="AD22" s="201">
        <f>(4*SUM(AD10:AD11,AD13:AD14,AD16:AD17,AD19:AD20)+5*SUM(AD12,AD15,AD18,AD21))/52</f>
        <v>1.6923352844590385</v>
      </c>
      <c r="AE22" s="202">
        <f>(4*SUM(AE10:AE11,AE13:AE14,AE16:AE17,AE19:AE20)+5*SUM(AE12,AE15,AE18,AE21))/52</f>
        <v>1.7486455892265307</v>
      </c>
      <c r="AF22" s="202">
        <f t="shared" si="14"/>
        <v>5.6310304767492214E-2</v>
      </c>
      <c r="AG22" s="200">
        <f t="shared" si="15"/>
        <v>3.3273728489028119E-2</v>
      </c>
      <c r="AH22" s="201">
        <f>(4*SUM(AH10:AH11,AH13:AH14,AH16:AH17,AH19:AH20)+5*SUM(AH12,AH15,AH18,AH21))/52</f>
        <v>23.386126373211543</v>
      </c>
      <c r="AI22" s="202">
        <f>(4*SUM(AI10:AI11,AI13:AI14,AI16:AI17,AI19:AI20)+5*SUM(AI12,AI15,AI18,AI21))/52</f>
        <v>23.735178923230766</v>
      </c>
      <c r="AJ22" s="202">
        <f t="shared" si="16"/>
        <v>0.34905255001922342</v>
      </c>
      <c r="AK22" s="200">
        <f t="shared" si="17"/>
        <v>1.4925624896094716E-2</v>
      </c>
      <c r="AL22" s="201">
        <f>(4*SUM(AL10:AL11,AL13:AL14,AL16:AL17,AL19:AL20)+5*SUM(AL12,AL15,AL18,AL21))/52</f>
        <v>24.512333040961536</v>
      </c>
      <c r="AM22" s="202">
        <f>(4*SUM(AM10:AM11,AM13:AM14,AM16:AM17,AM19:AM20)+5*SUM(AM12,AM15,AM18,AM21))/52</f>
        <v>25.131132840769229</v>
      </c>
      <c r="AN22" s="202">
        <f t="shared" si="18"/>
        <v>0.61879979980769306</v>
      </c>
      <c r="AO22" s="213">
        <f t="shared" si="19"/>
        <v>2.5244426908431872E-2</v>
      </c>
    </row>
    <row r="23" spans="1:41" ht="15" thickBot="1" x14ac:dyDescent="0.35">
      <c r="A23" s="39" t="str">
        <f>"Uruguay - "&amp;'Andina DT'!A22:J22</f>
        <v>Uruguay - w43</v>
      </c>
      <c r="B23" s="33"/>
      <c r="C23" s="33"/>
      <c r="D23" s="33"/>
      <c r="E23" s="33"/>
      <c r="F23" s="33"/>
      <c r="G23" s="33"/>
      <c r="J23" s="33"/>
      <c r="K23" s="33"/>
    </row>
    <row r="24" spans="1:41" ht="15" thickBot="1" x14ac:dyDescent="0.35">
      <c r="A24" s="30"/>
      <c r="B24" s="312" t="s">
        <v>21</v>
      </c>
      <c r="C24" s="313"/>
      <c r="D24" s="313"/>
      <c r="E24" s="313"/>
      <c r="F24" s="313"/>
      <c r="G24" s="313"/>
      <c r="H24" s="313"/>
      <c r="I24" s="313"/>
      <c r="J24" s="313"/>
      <c r="K24" s="313"/>
      <c r="L24" s="313"/>
      <c r="M24" s="314"/>
      <c r="N24" s="312" t="s">
        <v>22</v>
      </c>
      <c r="O24" s="313"/>
      <c r="P24" s="313"/>
      <c r="Q24" s="313"/>
      <c r="R24" s="313"/>
      <c r="S24" s="313"/>
      <c r="T24" s="313"/>
      <c r="U24" s="314"/>
      <c r="V24" s="312" t="s">
        <v>41</v>
      </c>
      <c r="W24" s="313"/>
      <c r="X24" s="313"/>
      <c r="Y24" s="314"/>
      <c r="Z24" s="312" t="s">
        <v>23</v>
      </c>
      <c r="AA24" s="313"/>
      <c r="AB24" s="313"/>
      <c r="AC24" s="313"/>
      <c r="AD24" s="312" t="s">
        <v>24</v>
      </c>
      <c r="AE24" s="313"/>
      <c r="AF24" s="313"/>
      <c r="AG24" s="314"/>
      <c r="AH24" s="312" t="s">
        <v>25</v>
      </c>
      <c r="AI24" s="313"/>
      <c r="AJ24" s="313"/>
      <c r="AK24" s="314"/>
      <c r="AL24" s="312" t="s">
        <v>60</v>
      </c>
      <c r="AM24" s="313"/>
      <c r="AN24" s="313"/>
      <c r="AO24" s="314"/>
    </row>
    <row r="25" spans="1:41" ht="15" thickBot="1" x14ac:dyDescent="0.35">
      <c r="A25" s="2"/>
      <c r="B25" s="312" t="s">
        <v>68</v>
      </c>
      <c r="C25" s="313"/>
      <c r="D25" s="313"/>
      <c r="E25" s="314"/>
      <c r="F25" s="312" t="s">
        <v>17</v>
      </c>
      <c r="G25" s="313"/>
      <c r="H25" s="313"/>
      <c r="I25" s="314"/>
      <c r="J25" s="312" t="s">
        <v>57</v>
      </c>
      <c r="K25" s="313"/>
      <c r="L25" s="313"/>
      <c r="M25" s="314"/>
      <c r="N25" s="312" t="s">
        <v>82</v>
      </c>
      <c r="O25" s="313"/>
      <c r="P25" s="313"/>
      <c r="Q25" s="314"/>
      <c r="R25" s="312" t="s">
        <v>19</v>
      </c>
      <c r="S25" s="313"/>
      <c r="T25" s="313"/>
      <c r="U25" s="314"/>
      <c r="V25" s="312" t="s">
        <v>35</v>
      </c>
      <c r="W25" s="313"/>
      <c r="X25" s="313"/>
      <c r="Y25" s="314"/>
      <c r="Z25" s="312" t="s">
        <v>84</v>
      </c>
      <c r="AA25" s="313"/>
      <c r="AB25" s="313"/>
      <c r="AC25" s="314"/>
      <c r="AD25" s="312" t="s">
        <v>73</v>
      </c>
      <c r="AE25" s="313"/>
      <c r="AF25" s="313"/>
      <c r="AG25" s="314"/>
      <c r="AH25" s="312" t="s">
        <v>16</v>
      </c>
      <c r="AI25" s="313"/>
      <c r="AJ25" s="313"/>
      <c r="AK25" s="314"/>
      <c r="AL25" s="312" t="s">
        <v>71</v>
      </c>
      <c r="AM25" s="313"/>
      <c r="AN25" s="313"/>
      <c r="AO25" s="314"/>
    </row>
    <row r="26" spans="1:41" x14ac:dyDescent="0.3">
      <c r="A26" s="1"/>
      <c r="B26" s="12">
        <v>2020</v>
      </c>
      <c r="C26" s="13">
        <v>2021</v>
      </c>
      <c r="D26" s="13" t="s">
        <v>12</v>
      </c>
      <c r="E26" s="14" t="s">
        <v>13</v>
      </c>
      <c r="F26" s="12">
        <v>2020</v>
      </c>
      <c r="G26" s="13">
        <v>2021</v>
      </c>
      <c r="H26" s="13" t="s">
        <v>12</v>
      </c>
      <c r="I26" s="14" t="s">
        <v>13</v>
      </c>
      <c r="J26" s="276">
        <v>2020</v>
      </c>
      <c r="K26" s="277">
        <v>2021</v>
      </c>
      <c r="L26" s="277" t="s">
        <v>12</v>
      </c>
      <c r="M26" s="278" t="s">
        <v>13</v>
      </c>
      <c r="N26" s="12">
        <v>2020</v>
      </c>
      <c r="O26" s="13">
        <v>2021</v>
      </c>
      <c r="P26" s="13" t="s">
        <v>12</v>
      </c>
      <c r="Q26" s="14" t="s">
        <v>13</v>
      </c>
      <c r="R26" s="12">
        <v>2020</v>
      </c>
      <c r="S26" s="13">
        <v>2021</v>
      </c>
      <c r="T26" s="13" t="s">
        <v>12</v>
      </c>
      <c r="U26" s="14" t="s">
        <v>13</v>
      </c>
      <c r="V26" s="276">
        <v>2020</v>
      </c>
      <c r="W26" s="277">
        <v>2021</v>
      </c>
      <c r="X26" s="277" t="s">
        <v>12</v>
      </c>
      <c r="Y26" s="278" t="s">
        <v>13</v>
      </c>
      <c r="Z26" s="12">
        <v>2020</v>
      </c>
      <c r="AA26" s="13">
        <v>2021</v>
      </c>
      <c r="AB26" s="13" t="s">
        <v>12</v>
      </c>
      <c r="AC26" s="14" t="s">
        <v>13</v>
      </c>
      <c r="AD26" s="12">
        <v>2020</v>
      </c>
      <c r="AE26" s="13">
        <v>2021</v>
      </c>
      <c r="AF26" s="13" t="s">
        <v>12</v>
      </c>
      <c r="AG26" s="14" t="s">
        <v>13</v>
      </c>
      <c r="AH26" s="12">
        <v>2020</v>
      </c>
      <c r="AI26" s="13">
        <v>2021</v>
      </c>
      <c r="AJ26" s="13" t="s">
        <v>12</v>
      </c>
      <c r="AK26" s="14" t="s">
        <v>13</v>
      </c>
      <c r="AL26" s="12">
        <v>2020</v>
      </c>
      <c r="AM26" s="13">
        <v>2021</v>
      </c>
      <c r="AN26" s="13" t="s">
        <v>12</v>
      </c>
      <c r="AO26" s="14" t="s">
        <v>13</v>
      </c>
    </row>
    <row r="27" spans="1:41" x14ac:dyDescent="0.3">
      <c r="A27" s="1" t="s">
        <v>0</v>
      </c>
      <c r="B27" s="23">
        <v>25</v>
      </c>
      <c r="C27" s="24">
        <v>24</v>
      </c>
      <c r="D27" s="24">
        <f>C27-B27</f>
        <v>-1</v>
      </c>
      <c r="E27" s="17">
        <f>(C27-B27)/B27</f>
        <v>-0.04</v>
      </c>
      <c r="F27" s="15">
        <v>0.83035714285714302</v>
      </c>
      <c r="G27" s="16">
        <v>0.77380952380952395</v>
      </c>
      <c r="H27" s="16">
        <f>G27-F27</f>
        <v>-5.6547619047619069E-2</v>
      </c>
      <c r="I27" s="17">
        <f>(G27-F27)/F27</f>
        <v>-6.8100358422939086E-2</v>
      </c>
      <c r="J27" s="279">
        <v>21</v>
      </c>
      <c r="K27" s="280">
        <v>19</v>
      </c>
      <c r="L27" s="280">
        <f>K27-J27</f>
        <v>-2</v>
      </c>
      <c r="M27" s="281">
        <f>(K27-J27)/J27</f>
        <v>-9.5238095238095233E-2</v>
      </c>
      <c r="N27" s="61">
        <v>26539025.563929915</v>
      </c>
      <c r="O27" s="62">
        <v>27724945.695301954</v>
      </c>
      <c r="P27" s="62">
        <f>O27-N27</f>
        <v>1185920.1313720383</v>
      </c>
      <c r="Q27" s="17">
        <f>(O27-N27)/N27</f>
        <v>4.4685895814647478E-2</v>
      </c>
      <c r="R27" s="67">
        <v>8.7757840000000004E-2</v>
      </c>
      <c r="S27" s="68">
        <v>9.6984203333333324E-2</v>
      </c>
      <c r="T27" s="16">
        <f>S27-R27</f>
        <v>9.2263633333333206E-3</v>
      </c>
      <c r="U27" s="17">
        <f>(S27-R27)/R27</f>
        <v>0.10513434849049749</v>
      </c>
      <c r="V27" s="288">
        <v>2.1701854034937199E-2</v>
      </c>
      <c r="W27" s="289">
        <v>2.0933898138114415E-2</v>
      </c>
      <c r="X27" s="290">
        <f>W27-V27</f>
        <v>-7.6795589682278342E-4</v>
      </c>
      <c r="Y27" s="281">
        <f t="shared" ref="Y27:Y38" si="21">IFERROR((W27-V27)/ABS(V27),0)</f>
        <v>-3.5386649250634207E-2</v>
      </c>
      <c r="Z27" s="15">
        <v>284.17209360147655</v>
      </c>
      <c r="AA27" s="16">
        <v>306.76346712627208</v>
      </c>
      <c r="AB27" s="16">
        <f>AA27-Z27</f>
        <v>22.591373524795529</v>
      </c>
      <c r="AC27" s="17">
        <f>(AA27-Z27)/Z27</f>
        <v>7.9498916443490442E-2</v>
      </c>
      <c r="AD27" s="15">
        <v>1.6463826919393176</v>
      </c>
      <c r="AE27" s="16">
        <v>1.7113402479423863</v>
      </c>
      <c r="AF27" s="16">
        <f>AE27-AD27</f>
        <v>6.4957556003068628E-2</v>
      </c>
      <c r="AG27" s="17">
        <f>(AE27-AD27)/AD27</f>
        <v>3.9454712638258733E-2</v>
      </c>
      <c r="AH27" s="15">
        <v>28.280357142500002</v>
      </c>
      <c r="AI27" s="16">
        <v>29.498809523249999</v>
      </c>
      <c r="AJ27" s="16">
        <f>AI27-AH27</f>
        <v>1.2184523807499978</v>
      </c>
      <c r="AK27" s="17">
        <f>(AI27-AH27)/AH27</f>
        <v>4.308475931228236E-2</v>
      </c>
      <c r="AL27" s="15">
        <v>30.726466492499998</v>
      </c>
      <c r="AM27" s="16">
        <v>31.470912755000001</v>
      </c>
      <c r="AN27" s="16">
        <f>AM27-AL27</f>
        <v>0.74444626250000212</v>
      </c>
      <c r="AO27" s="17">
        <f>(AM27-AL27)/AL27</f>
        <v>2.422817679610877E-2</v>
      </c>
    </row>
    <row r="28" spans="1:41" x14ac:dyDescent="0.3">
      <c r="A28" s="1" t="s">
        <v>1</v>
      </c>
      <c r="B28" s="23">
        <v>28</v>
      </c>
      <c r="C28" s="24">
        <v>28</v>
      </c>
      <c r="D28" s="24">
        <f t="shared" ref="D28:D38" si="22">C28-B28</f>
        <v>0</v>
      </c>
      <c r="E28" s="17">
        <f t="shared" ref="E28:E38" si="23">(C28-B28)/B28</f>
        <v>0</v>
      </c>
      <c r="F28" s="15">
        <v>0.85714285714285698</v>
      </c>
      <c r="G28" s="16">
        <v>0.85714285714285698</v>
      </c>
      <c r="H28" s="16">
        <f t="shared" ref="H28:H38" si="24">G28-F28</f>
        <v>0</v>
      </c>
      <c r="I28" s="17">
        <f t="shared" ref="I28:I38" si="25">(G28-F28)/F28</f>
        <v>0</v>
      </c>
      <c r="J28" s="279">
        <v>24</v>
      </c>
      <c r="K28" s="280">
        <v>24</v>
      </c>
      <c r="L28" s="280">
        <f t="shared" ref="L28:L38" si="26">K28-J28</f>
        <v>0</v>
      </c>
      <c r="M28" s="281">
        <f t="shared" ref="M28:M38" si="27">(K28-J28)/J28</f>
        <v>0</v>
      </c>
      <c r="N28" s="61">
        <v>26539025.563929915</v>
      </c>
      <c r="O28" s="62">
        <v>27724945.695301954</v>
      </c>
      <c r="P28" s="62">
        <f t="shared" ref="P28:P38" si="28">O28-N28</f>
        <v>1185920.1313720383</v>
      </c>
      <c r="Q28" s="17">
        <f t="shared" ref="Q28:Q38" si="29">(O28-N28)/N28</f>
        <v>4.4685895814647478E-2</v>
      </c>
      <c r="R28" s="67">
        <v>8.7757840000000004E-2</v>
      </c>
      <c r="S28" s="68">
        <v>9.6984203333333324E-2</v>
      </c>
      <c r="T28" s="16">
        <f t="shared" ref="T28:T38" si="30">S28-R28</f>
        <v>9.2263633333333206E-3</v>
      </c>
      <c r="U28" s="17">
        <f t="shared" ref="U28:U38" si="31">(S28-R28)/R28</f>
        <v>0.10513434849049749</v>
      </c>
      <c r="V28" s="288">
        <v>9.7999999999999997E-3</v>
      </c>
      <c r="W28" s="289">
        <v>6.1272736044772902E-3</v>
      </c>
      <c r="X28" s="290">
        <f t="shared" ref="X28:X38" si="32">W28-V28</f>
        <v>-3.6727263955227095E-3</v>
      </c>
      <c r="Y28" s="281">
        <f t="shared" si="21"/>
        <v>-0.37476799954313361</v>
      </c>
      <c r="Z28" s="15">
        <v>287.53058545481906</v>
      </c>
      <c r="AA28" s="16">
        <v>314.91513151276001</v>
      </c>
      <c r="AB28" s="16">
        <f t="shared" ref="AB28:AB38" si="33">AA28-Z28</f>
        <v>27.384546057940952</v>
      </c>
      <c r="AC28" s="17">
        <f t="shared" ref="AC28:AC38" si="34">(AA28-Z28)/Z28</f>
        <v>9.5240462904576828E-2</v>
      </c>
      <c r="AD28" s="15">
        <v>1.6639996631003044</v>
      </c>
      <c r="AE28" s="16">
        <v>1.7363758428127598</v>
      </c>
      <c r="AF28" s="16">
        <f t="shared" ref="AF28:AF38" si="35">AE28-AD28</f>
        <v>7.2376179712455357E-2</v>
      </c>
      <c r="AG28" s="17">
        <f t="shared" ref="AG28:AG38" si="36">(AE28-AD28)/AD28</f>
        <v>4.3495309114189758E-2</v>
      </c>
      <c r="AH28" s="15">
        <v>30.110714285250001</v>
      </c>
      <c r="AI28" s="16">
        <v>30.189285714</v>
      </c>
      <c r="AJ28" s="16">
        <f t="shared" ref="AJ28:AJ38" si="37">AI28-AH28</f>
        <v>7.8571428749999228E-2</v>
      </c>
      <c r="AK28" s="17">
        <f t="shared" ref="AK28:AK38" si="38">(AI28-AH28)/AH28</f>
        <v>2.609417631400665E-3</v>
      </c>
      <c r="AL28" s="15">
        <v>30.926132602500001</v>
      </c>
      <c r="AM28" s="16">
        <v>31.744990274999999</v>
      </c>
      <c r="AN28" s="16">
        <f t="shared" ref="AN28:AN38" si="39">AM28-AL28</f>
        <v>0.8188576724999983</v>
      </c>
      <c r="AO28" s="17">
        <f t="shared" ref="AO28:AO38" si="40">(AM28-AL28)/AL28</f>
        <v>2.6477855573632365E-2</v>
      </c>
    </row>
    <row r="29" spans="1:41" x14ac:dyDescent="0.3">
      <c r="A29" s="1" t="s">
        <v>2</v>
      </c>
      <c r="B29" s="23">
        <v>35</v>
      </c>
      <c r="C29" s="24">
        <v>35</v>
      </c>
      <c r="D29" s="24">
        <f t="shared" si="22"/>
        <v>0</v>
      </c>
      <c r="E29" s="17">
        <f t="shared" si="23"/>
        <v>0</v>
      </c>
      <c r="F29" s="15">
        <v>0.85714285714285698</v>
      </c>
      <c r="G29" s="16">
        <v>0.8</v>
      </c>
      <c r="H29" s="16">
        <f t="shared" si="24"/>
        <v>-5.714285714285694E-2</v>
      </c>
      <c r="I29" s="17">
        <f t="shared" si="25"/>
        <v>-6.6666666666666444E-2</v>
      </c>
      <c r="J29" s="279">
        <v>30</v>
      </c>
      <c r="K29" s="280">
        <v>28</v>
      </c>
      <c r="L29" s="280">
        <f t="shared" si="26"/>
        <v>-2</v>
      </c>
      <c r="M29" s="281">
        <f t="shared" si="27"/>
        <v>-6.6666666666666666E-2</v>
      </c>
      <c r="N29" s="61">
        <v>26539025.563929915</v>
      </c>
      <c r="O29" s="62">
        <v>27724945.695301954</v>
      </c>
      <c r="P29" s="62">
        <f t="shared" si="28"/>
        <v>1185920.1313720383</v>
      </c>
      <c r="Q29" s="17">
        <f t="shared" si="29"/>
        <v>4.4685895814647478E-2</v>
      </c>
      <c r="R29" s="67">
        <v>8.7757840000000004E-2</v>
      </c>
      <c r="S29" s="68">
        <v>9.6984203333333324E-2</v>
      </c>
      <c r="T29" s="16">
        <f t="shared" si="30"/>
        <v>9.2263633333333206E-3</v>
      </c>
      <c r="U29" s="17">
        <f t="shared" si="31"/>
        <v>0.10513434849049749</v>
      </c>
      <c r="V29" s="288">
        <v>5.4999999999999997E-3</v>
      </c>
      <c r="W29" s="289">
        <v>1.3330775870336486E-2</v>
      </c>
      <c r="X29" s="290">
        <f t="shared" si="32"/>
        <v>7.8307758703364868E-3</v>
      </c>
      <c r="Y29" s="281">
        <f t="shared" si="21"/>
        <v>1.4237774309702704</v>
      </c>
      <c r="Z29" s="15">
        <v>290.64564496127855</v>
      </c>
      <c r="AA29" s="16">
        <v>314.04912527982754</v>
      </c>
      <c r="AB29" s="16">
        <f t="shared" si="33"/>
        <v>23.403480318548986</v>
      </c>
      <c r="AC29" s="17">
        <f t="shared" si="34"/>
        <v>8.0522384299503022E-2</v>
      </c>
      <c r="AD29" s="15">
        <v>1.6827667473391332</v>
      </c>
      <c r="AE29" s="16">
        <v>1.7495737418180768</v>
      </c>
      <c r="AF29" s="16">
        <f t="shared" si="35"/>
        <v>6.680699447894356E-2</v>
      </c>
      <c r="AG29" s="17">
        <f t="shared" si="36"/>
        <v>3.9700686137625313E-2</v>
      </c>
      <c r="AH29" s="15">
        <v>25.942857142400001</v>
      </c>
      <c r="AI29" s="16">
        <v>29.528571427999999</v>
      </c>
      <c r="AJ29" s="16">
        <f t="shared" si="37"/>
        <v>3.5857142855999982</v>
      </c>
      <c r="AK29" s="17">
        <f t="shared" si="38"/>
        <v>0.13821585902886716</v>
      </c>
      <c r="AL29" s="15">
        <v>28.206274698000001</v>
      </c>
      <c r="AM29" s="16">
        <v>30.783296016000001</v>
      </c>
      <c r="AN29" s="16">
        <f t="shared" si="39"/>
        <v>2.5770213179999999</v>
      </c>
      <c r="AO29" s="17">
        <f t="shared" si="40"/>
        <v>9.1363405681599161E-2</v>
      </c>
    </row>
    <row r="30" spans="1:41" x14ac:dyDescent="0.3">
      <c r="A30" s="1" t="s">
        <v>3</v>
      </c>
      <c r="B30" s="23">
        <v>28</v>
      </c>
      <c r="C30" s="24">
        <v>28</v>
      </c>
      <c r="D30" s="24">
        <f t="shared" si="22"/>
        <v>0</v>
      </c>
      <c r="E30" s="17">
        <f t="shared" si="23"/>
        <v>0</v>
      </c>
      <c r="F30" s="15">
        <v>0.78571428571428603</v>
      </c>
      <c r="G30" s="16">
        <v>0.82142857142857095</v>
      </c>
      <c r="H30" s="16">
        <f t="shared" si="24"/>
        <v>3.5714285714284921E-2</v>
      </c>
      <c r="I30" s="17">
        <f t="shared" si="25"/>
        <v>4.5454545454544429E-2</v>
      </c>
      <c r="J30" s="279">
        <v>22</v>
      </c>
      <c r="K30" s="280">
        <v>23</v>
      </c>
      <c r="L30" s="280">
        <f t="shared" si="26"/>
        <v>1</v>
      </c>
      <c r="M30" s="281">
        <f t="shared" si="27"/>
        <v>4.5454545454545456E-2</v>
      </c>
      <c r="N30" s="61">
        <v>24692340.806240637</v>
      </c>
      <c r="O30" s="62">
        <v>30084093.745664444</v>
      </c>
      <c r="P30" s="62">
        <f t="shared" si="28"/>
        <v>5391752.939423807</v>
      </c>
      <c r="Q30" s="17">
        <f t="shared" si="29"/>
        <v>0.21835730284676447</v>
      </c>
      <c r="R30" s="67">
        <v>8.8946869999999997E-2</v>
      </c>
      <c r="S30" s="68">
        <v>0.10033333333333333</v>
      </c>
      <c r="T30" s="16">
        <f t="shared" si="30"/>
        <v>1.1386463333333333E-2</v>
      </c>
      <c r="U30" s="17">
        <f t="shared" si="31"/>
        <v>0.12801421043071368</v>
      </c>
      <c r="V30" s="288">
        <v>4.3E-3</v>
      </c>
      <c r="W30" s="289">
        <v>1.9969714177550557E-2</v>
      </c>
      <c r="X30" s="290">
        <f t="shared" si="32"/>
        <v>1.5669714177550559E-2</v>
      </c>
      <c r="Y30" s="281">
        <f t="shared" si="21"/>
        <v>3.6441195761745484</v>
      </c>
      <c r="Z30" s="15">
        <v>293.10954234427356</v>
      </c>
      <c r="AA30" s="16">
        <v>314.04912527982754</v>
      </c>
      <c r="AB30" s="16">
        <f t="shared" si="33"/>
        <v>20.939582935553972</v>
      </c>
      <c r="AC30" s="17">
        <f t="shared" si="34"/>
        <v>7.1439444680239245E-2</v>
      </c>
      <c r="AD30" s="15">
        <v>1.6775803703980343</v>
      </c>
      <c r="AE30" s="16">
        <v>1.7495737418180768</v>
      </c>
      <c r="AF30" s="16">
        <f t="shared" si="35"/>
        <v>7.1993371420042473E-2</v>
      </c>
      <c r="AG30" s="17">
        <f t="shared" si="36"/>
        <v>4.2915005856298157E-2</v>
      </c>
      <c r="AH30" s="15">
        <v>24.999999999749999</v>
      </c>
      <c r="AI30" s="16">
        <v>24.73928571375</v>
      </c>
      <c r="AJ30" s="16">
        <f t="shared" si="37"/>
        <v>-0.26071428599999891</v>
      </c>
      <c r="AK30" s="17">
        <f t="shared" si="38"/>
        <v>-1.0428571440104242E-2</v>
      </c>
      <c r="AL30" s="15">
        <v>26.548912207499999</v>
      </c>
      <c r="AM30" s="16">
        <v>26.364061732500002</v>
      </c>
      <c r="AN30" s="16">
        <f t="shared" si="39"/>
        <v>-0.18485047499999752</v>
      </c>
      <c r="AO30" s="17">
        <f t="shared" si="40"/>
        <v>-6.9626383768664445E-3</v>
      </c>
    </row>
    <row r="31" spans="1:41" x14ac:dyDescent="0.3">
      <c r="A31" s="1" t="s">
        <v>4</v>
      </c>
      <c r="B31" s="23">
        <v>28</v>
      </c>
      <c r="C31" s="24">
        <v>28</v>
      </c>
      <c r="D31" s="24">
        <f t="shared" si="22"/>
        <v>0</v>
      </c>
      <c r="E31" s="17">
        <f t="shared" si="23"/>
        <v>0</v>
      </c>
      <c r="F31" s="15">
        <v>0.82142857142857095</v>
      </c>
      <c r="G31" s="16">
        <v>0.78571428571428603</v>
      </c>
      <c r="H31" s="16">
        <f t="shared" si="24"/>
        <v>-3.5714285714284921E-2</v>
      </c>
      <c r="I31" s="17">
        <f t="shared" si="25"/>
        <v>-4.3478260869564279E-2</v>
      </c>
      <c r="J31" s="279">
        <v>23</v>
      </c>
      <c r="K31" s="280">
        <v>22</v>
      </c>
      <c r="L31" s="280">
        <f t="shared" si="26"/>
        <v>-1</v>
      </c>
      <c r="M31" s="281">
        <f t="shared" si="27"/>
        <v>-4.3478260869565216E-2</v>
      </c>
      <c r="N31" s="61">
        <v>24692340.806240637</v>
      </c>
      <c r="O31" s="62">
        <v>30084093.745664444</v>
      </c>
      <c r="P31" s="62">
        <f t="shared" si="28"/>
        <v>5391752.939423807</v>
      </c>
      <c r="Q31" s="17">
        <f t="shared" si="29"/>
        <v>0.21835730284676447</v>
      </c>
      <c r="R31" s="67">
        <v>8.8946869999999997E-2</v>
      </c>
      <c r="S31" s="68">
        <v>0.10033333333333333</v>
      </c>
      <c r="T31" s="16">
        <f t="shared" si="30"/>
        <v>1.1386463333333333E-2</v>
      </c>
      <c r="U31" s="17">
        <f t="shared" si="31"/>
        <v>0.12801421043071368</v>
      </c>
      <c r="V31" s="288">
        <v>4.0000000000000001E-3</v>
      </c>
      <c r="W31" s="289">
        <v>5.6602022826390819E-3</v>
      </c>
      <c r="X31" s="290">
        <f t="shared" si="32"/>
        <v>1.6602022826390818E-3</v>
      </c>
      <c r="Y31" s="281">
        <f t="shared" si="21"/>
        <v>0.41505057065977041</v>
      </c>
      <c r="Z31" s="15">
        <v>292.92595393924427</v>
      </c>
      <c r="AA31" s="16">
        <v>314.04912527982754</v>
      </c>
      <c r="AB31" s="16">
        <f t="shared" si="33"/>
        <v>21.123171340583269</v>
      </c>
      <c r="AC31" s="17">
        <f t="shared" si="34"/>
        <v>7.2110958610941051E-2</v>
      </c>
      <c r="AD31" s="15">
        <v>1.6776668385382165</v>
      </c>
      <c r="AE31" s="16">
        <v>1.7495737418180768</v>
      </c>
      <c r="AF31" s="16">
        <f t="shared" si="35"/>
        <v>7.1906903279860268E-2</v>
      </c>
      <c r="AG31" s="17">
        <f t="shared" si="36"/>
        <v>4.2861253276314466E-2</v>
      </c>
      <c r="AH31" s="15">
        <v>20.946428571249999</v>
      </c>
      <c r="AI31" s="16">
        <v>21.914285713999998</v>
      </c>
      <c r="AJ31" s="16">
        <f t="shared" si="37"/>
        <v>0.9678571427499989</v>
      </c>
      <c r="AK31" s="17">
        <f t="shared" si="38"/>
        <v>4.6206308605679459E-2</v>
      </c>
      <c r="AL31" s="15">
        <v>21.863471244999999</v>
      </c>
      <c r="AM31" s="16">
        <v>23.355679117499999</v>
      </c>
      <c r="AN31" s="16">
        <f t="shared" si="39"/>
        <v>1.4922078724999999</v>
      </c>
      <c r="AO31" s="17">
        <f t="shared" si="40"/>
        <v>6.825118736994959E-2</v>
      </c>
    </row>
    <row r="32" spans="1:41" x14ac:dyDescent="0.3">
      <c r="A32" s="1" t="s">
        <v>5</v>
      </c>
      <c r="B32" s="23">
        <v>35</v>
      </c>
      <c r="C32" s="24">
        <v>35</v>
      </c>
      <c r="D32" s="24">
        <f t="shared" si="22"/>
        <v>0</v>
      </c>
      <c r="E32" s="17">
        <f t="shared" si="23"/>
        <v>0</v>
      </c>
      <c r="F32" s="15">
        <v>0.85714285714285698</v>
      </c>
      <c r="G32" s="16">
        <v>0.82857142857142896</v>
      </c>
      <c r="H32" s="16">
        <f t="shared" si="24"/>
        <v>-2.8571428571428026E-2</v>
      </c>
      <c r="I32" s="17">
        <f t="shared" si="25"/>
        <v>-3.3333333333332701E-2</v>
      </c>
      <c r="J32" s="279">
        <v>30</v>
      </c>
      <c r="K32" s="280">
        <v>29</v>
      </c>
      <c r="L32" s="280">
        <f t="shared" si="26"/>
        <v>-1</v>
      </c>
      <c r="M32" s="281">
        <f t="shared" si="27"/>
        <v>-3.3333333333333333E-2</v>
      </c>
      <c r="N32" s="61">
        <v>24692340.806240637</v>
      </c>
      <c r="O32" s="62">
        <v>30084093.745664444</v>
      </c>
      <c r="P32" s="62">
        <f t="shared" si="28"/>
        <v>5391752.939423807</v>
      </c>
      <c r="Q32" s="17">
        <f t="shared" si="29"/>
        <v>0.21835730284676447</v>
      </c>
      <c r="R32" s="67">
        <v>8.8946869999999997E-2</v>
      </c>
      <c r="S32" s="68">
        <v>0.10033333333333333</v>
      </c>
      <c r="T32" s="16">
        <f t="shared" si="30"/>
        <v>1.1386463333333333E-2</v>
      </c>
      <c r="U32" s="17">
        <f t="shared" si="31"/>
        <v>0.12801421043071368</v>
      </c>
      <c r="V32" s="288">
        <v>6.404016599210971E-3</v>
      </c>
      <c r="W32" s="289">
        <v>1.8453589223099698E-4</v>
      </c>
      <c r="X32" s="290">
        <f t="shared" si="32"/>
        <v>-6.219480706979974E-3</v>
      </c>
      <c r="Y32" s="281">
        <f t="shared" si="21"/>
        <v>-0.97118435135634507</v>
      </c>
      <c r="Z32" s="15">
        <v>295.38779643124519</v>
      </c>
      <c r="AA32" s="16">
        <v>314.04912527982754</v>
      </c>
      <c r="AB32" s="16">
        <f t="shared" si="33"/>
        <v>18.661328848582343</v>
      </c>
      <c r="AC32" s="17">
        <f t="shared" si="34"/>
        <v>6.3175693356465307E-2</v>
      </c>
      <c r="AD32" s="15">
        <v>1.6848032973528537</v>
      </c>
      <c r="AE32" s="16">
        <v>1.7495737418180768</v>
      </c>
      <c r="AF32" s="16">
        <f t="shared" si="35"/>
        <v>6.4770444465223065E-2</v>
      </c>
      <c r="AG32" s="17">
        <f t="shared" si="36"/>
        <v>3.8443920763325749E-2</v>
      </c>
      <c r="AH32" s="15">
        <v>19.254285713800002</v>
      </c>
      <c r="AI32" s="16">
        <v>18.199999999799999</v>
      </c>
      <c r="AJ32" s="16">
        <f t="shared" si="37"/>
        <v>-1.0542857140000024</v>
      </c>
      <c r="AK32" s="17">
        <f t="shared" si="38"/>
        <v>-5.4755898487803725E-2</v>
      </c>
      <c r="AL32" s="15">
        <v>17.837220252000002</v>
      </c>
      <c r="AM32" s="16">
        <v>20.273258802000001</v>
      </c>
      <c r="AN32" s="16">
        <f t="shared" si="39"/>
        <v>2.4360385499999992</v>
      </c>
      <c r="AO32" s="17">
        <f t="shared" si="40"/>
        <v>0.13657052587702717</v>
      </c>
    </row>
    <row r="33" spans="1:41" x14ac:dyDescent="0.3">
      <c r="A33" s="1" t="s">
        <v>6</v>
      </c>
      <c r="B33" s="23">
        <v>28</v>
      </c>
      <c r="C33" s="24">
        <v>28</v>
      </c>
      <c r="D33" s="24">
        <f t="shared" si="22"/>
        <v>0</v>
      </c>
      <c r="E33" s="17">
        <f t="shared" si="23"/>
        <v>0</v>
      </c>
      <c r="F33" s="15">
        <v>0.85714285714285698</v>
      </c>
      <c r="G33" s="16">
        <v>0.82142857142857095</v>
      </c>
      <c r="H33" s="16">
        <f t="shared" si="24"/>
        <v>-3.5714285714286031E-2</v>
      </c>
      <c r="I33" s="17">
        <f t="shared" si="25"/>
        <v>-4.1666666666667046E-2</v>
      </c>
      <c r="J33" s="279">
        <v>24</v>
      </c>
      <c r="K33" s="280">
        <v>23</v>
      </c>
      <c r="L33" s="280">
        <f t="shared" si="26"/>
        <v>-1</v>
      </c>
      <c r="M33" s="281">
        <f t="shared" si="27"/>
        <v>-4.1666666666666664E-2</v>
      </c>
      <c r="N33" s="61">
        <v>29855093.774423201</v>
      </c>
      <c r="O33" s="62">
        <v>29462154.457021378</v>
      </c>
      <c r="P33" s="62">
        <f t="shared" si="28"/>
        <v>-392939.31740182266</v>
      </c>
      <c r="Q33" s="17">
        <f t="shared" si="29"/>
        <v>-1.31615502657859E-2</v>
      </c>
      <c r="R33" s="67">
        <v>9.2100130000000002E-2</v>
      </c>
      <c r="S33" s="68">
        <v>0.10666666666666667</v>
      </c>
      <c r="T33" s="16">
        <f t="shared" si="30"/>
        <v>1.4566536666666671E-2</v>
      </c>
      <c r="U33" s="17">
        <f t="shared" si="31"/>
        <v>0.15815978399451414</v>
      </c>
      <c r="V33" s="288">
        <v>7.6359193646913237E-3</v>
      </c>
      <c r="W33" s="289">
        <v>5.4889298892988325E-3</v>
      </c>
      <c r="X33" s="290">
        <f t="shared" si="32"/>
        <v>-2.1469894753924912E-3</v>
      </c>
      <c r="Y33" s="281">
        <f t="shared" si="21"/>
        <v>-0.28116974169740744</v>
      </c>
      <c r="Z33" s="15">
        <v>295.99683994311897</v>
      </c>
      <c r="AA33" s="16">
        <v>314.04912527982754</v>
      </c>
      <c r="AB33" s="16">
        <f t="shared" si="33"/>
        <v>18.052285336708565</v>
      </c>
      <c r="AC33" s="17">
        <f t="shared" si="34"/>
        <v>6.0988101562765434E-2</v>
      </c>
      <c r="AD33" s="15">
        <v>1.6801328914217029</v>
      </c>
      <c r="AE33" s="16">
        <v>1.7495737418180768</v>
      </c>
      <c r="AF33" s="16">
        <f t="shared" si="35"/>
        <v>6.9440850396373932E-2</v>
      </c>
      <c r="AG33" s="17">
        <f t="shared" si="36"/>
        <v>4.1330570189370044E-2</v>
      </c>
      <c r="AH33" s="15">
        <v>16.142857142499999</v>
      </c>
      <c r="AI33" s="16">
        <v>15.746428570999999</v>
      </c>
      <c r="AJ33" s="16">
        <f t="shared" si="37"/>
        <v>-0.39642857149999955</v>
      </c>
      <c r="AK33" s="17">
        <f t="shared" si="38"/>
        <v>-2.4557522128861867E-2</v>
      </c>
      <c r="AL33" s="15">
        <v>16.7924351375</v>
      </c>
      <c r="AM33" s="16">
        <v>14.834197359999999</v>
      </c>
      <c r="AN33" s="16">
        <f t="shared" si="39"/>
        <v>-1.9582377775000008</v>
      </c>
      <c r="AO33" s="17">
        <f t="shared" si="40"/>
        <v>-0.11661428264962985</v>
      </c>
    </row>
    <row r="34" spans="1:41" x14ac:dyDescent="0.3">
      <c r="A34" s="1" t="s">
        <v>7</v>
      </c>
      <c r="B34" s="23">
        <v>28</v>
      </c>
      <c r="C34" s="24">
        <v>28</v>
      </c>
      <c r="D34" s="24">
        <f t="shared" si="22"/>
        <v>0</v>
      </c>
      <c r="E34" s="17">
        <f t="shared" si="23"/>
        <v>0</v>
      </c>
      <c r="F34" s="15">
        <v>0.85714285714285698</v>
      </c>
      <c r="G34" s="16">
        <v>0.85714285714285698</v>
      </c>
      <c r="H34" s="16">
        <f t="shared" si="24"/>
        <v>0</v>
      </c>
      <c r="I34" s="17">
        <f t="shared" si="25"/>
        <v>0</v>
      </c>
      <c r="J34" s="279">
        <v>24</v>
      </c>
      <c r="K34" s="280">
        <v>24</v>
      </c>
      <c r="L34" s="280">
        <f t="shared" si="26"/>
        <v>0</v>
      </c>
      <c r="M34" s="281">
        <f t="shared" si="27"/>
        <v>0</v>
      </c>
      <c r="N34" s="61">
        <v>29855093.774423201</v>
      </c>
      <c r="O34" s="62">
        <v>29462154.457021378</v>
      </c>
      <c r="P34" s="62">
        <f t="shared" si="28"/>
        <v>-392939.31740182266</v>
      </c>
      <c r="Q34" s="17">
        <f t="shared" si="29"/>
        <v>-1.31615502657859E-2</v>
      </c>
      <c r="R34" s="67">
        <v>9.2100130000000002E-2</v>
      </c>
      <c r="S34" s="68">
        <v>0.10666666666666667</v>
      </c>
      <c r="T34" s="16">
        <f t="shared" si="30"/>
        <v>1.4566536666666671E-2</v>
      </c>
      <c r="U34" s="17">
        <f t="shared" si="31"/>
        <v>0.15815978399451414</v>
      </c>
      <c r="V34" s="288">
        <v>8.8410629483681724E-3</v>
      </c>
      <c r="W34" s="289">
        <v>5.7342079911921751E-3</v>
      </c>
      <c r="X34" s="290">
        <f t="shared" si="32"/>
        <v>-3.1068549571759974E-3</v>
      </c>
      <c r="Y34" s="281">
        <f t="shared" si="21"/>
        <v>-0.3514119258419533</v>
      </c>
      <c r="Z34" s="15">
        <v>300.45948643590566</v>
      </c>
      <c r="AA34" s="16">
        <v>315.61937090622666</v>
      </c>
      <c r="AB34" s="16">
        <f t="shared" si="33"/>
        <v>15.159884470321003</v>
      </c>
      <c r="AC34" s="17">
        <f t="shared" si="34"/>
        <v>5.0455669248955219E-2</v>
      </c>
      <c r="AD34" s="15">
        <v>1.7015046518454062</v>
      </c>
      <c r="AE34" s="16">
        <v>1.7583216105271671</v>
      </c>
      <c r="AF34" s="16">
        <f t="shared" si="35"/>
        <v>5.6816958681760843E-2</v>
      </c>
      <c r="AG34" s="17">
        <f t="shared" si="36"/>
        <v>3.339218533439723E-2</v>
      </c>
      <c r="AH34" s="15">
        <v>16.292857142500001</v>
      </c>
      <c r="AI34" s="16">
        <v>18.699999999749998</v>
      </c>
      <c r="AJ34" s="16">
        <f t="shared" si="37"/>
        <v>2.4071428572499975</v>
      </c>
      <c r="AK34" s="17">
        <f t="shared" si="38"/>
        <v>0.14774221833511036</v>
      </c>
      <c r="AL34" s="15">
        <v>18.092583757500002</v>
      </c>
      <c r="AM34" s="16">
        <v>19.052669989999998</v>
      </c>
      <c r="AN34" s="16">
        <f t="shared" si="39"/>
        <v>0.96008623249999658</v>
      </c>
      <c r="AO34" s="17">
        <f t="shared" si="40"/>
        <v>5.3065181035959426E-2</v>
      </c>
    </row>
    <row r="35" spans="1:41" x14ac:dyDescent="0.3">
      <c r="A35" s="1" t="s">
        <v>8</v>
      </c>
      <c r="B35" s="23">
        <v>35</v>
      </c>
      <c r="C35" s="24">
        <v>35</v>
      </c>
      <c r="D35" s="24">
        <f t="shared" si="22"/>
        <v>0</v>
      </c>
      <c r="E35" s="17">
        <f t="shared" si="23"/>
        <v>0</v>
      </c>
      <c r="F35" s="15">
        <v>0.85714285714285698</v>
      </c>
      <c r="G35" s="16">
        <v>0.82857142857142896</v>
      </c>
      <c r="H35" s="16">
        <f t="shared" si="24"/>
        <v>-2.8571428571428026E-2</v>
      </c>
      <c r="I35" s="17">
        <f t="shared" si="25"/>
        <v>-3.3333333333332701E-2</v>
      </c>
      <c r="J35" s="279">
        <v>30</v>
      </c>
      <c r="K35" s="280">
        <v>29</v>
      </c>
      <c r="L35" s="280">
        <f t="shared" si="26"/>
        <v>-1</v>
      </c>
      <c r="M35" s="281">
        <f t="shared" si="27"/>
        <v>-3.3333333333333333E-2</v>
      </c>
      <c r="N35" s="61">
        <v>29855093.774423201</v>
      </c>
      <c r="O35" s="62">
        <v>29462154.457021378</v>
      </c>
      <c r="P35" s="62">
        <f t="shared" si="28"/>
        <v>-392939.31740182266</v>
      </c>
      <c r="Q35" s="17">
        <f t="shared" si="29"/>
        <v>-1.31615502657859E-2</v>
      </c>
      <c r="R35" s="67">
        <v>9.2100130000000002E-2</v>
      </c>
      <c r="S35" s="68">
        <v>0.10666666666666667</v>
      </c>
      <c r="T35" s="16">
        <f t="shared" si="30"/>
        <v>1.4566536666666671E-2</v>
      </c>
      <c r="U35" s="17">
        <f t="shared" si="31"/>
        <v>0.15815978399451414</v>
      </c>
      <c r="V35" s="288">
        <v>5.1579948920827956E-3</v>
      </c>
      <c r="W35" s="289">
        <v>6.4000000000000003E-3</v>
      </c>
      <c r="X35" s="290">
        <f t="shared" si="32"/>
        <v>1.2420051079172047E-3</v>
      </c>
      <c r="Y35" s="281">
        <f t="shared" si="21"/>
        <v>0.2407922330096926</v>
      </c>
      <c r="Z35" s="15">
        <v>302.90552546462322</v>
      </c>
      <c r="AA35" s="16">
        <v>317.19746776075777</v>
      </c>
      <c r="AB35" s="16">
        <f t="shared" si="33"/>
        <v>14.29194229613455</v>
      </c>
      <c r="AC35" s="17">
        <f t="shared" si="34"/>
        <v>4.7182837864090818E-2</v>
      </c>
      <c r="AD35" s="15">
        <v>1.7073873060085167</v>
      </c>
      <c r="AE35" s="16">
        <v>1.7583216105271671</v>
      </c>
      <c r="AF35" s="16">
        <f t="shared" si="35"/>
        <v>5.0934304518650331E-2</v>
      </c>
      <c r="AG35" s="17">
        <f t="shared" si="36"/>
        <v>2.9831722620524311E-2</v>
      </c>
      <c r="AH35" s="15">
        <v>19.934285713600001</v>
      </c>
      <c r="AI35" s="16">
        <v>19.4857142852</v>
      </c>
      <c r="AJ35" s="16">
        <f t="shared" si="37"/>
        <v>-0.44857142840000108</v>
      </c>
      <c r="AK35" s="17">
        <f t="shared" si="38"/>
        <v>-2.2502508233538908E-2</v>
      </c>
      <c r="AL35" s="15">
        <v>20.036474510000001</v>
      </c>
      <c r="AM35" s="16">
        <v>20.864757116</v>
      </c>
      <c r="AN35" s="16">
        <f t="shared" si="39"/>
        <v>0.82828260599999837</v>
      </c>
      <c r="AO35" s="17">
        <f t="shared" si="40"/>
        <v>4.1338739786114118E-2</v>
      </c>
    </row>
    <row r="36" spans="1:41" x14ac:dyDescent="0.3">
      <c r="A36" s="1" t="s">
        <v>9</v>
      </c>
      <c r="B36" s="23">
        <v>28</v>
      </c>
      <c r="C36" s="24">
        <v>28</v>
      </c>
      <c r="D36" s="24">
        <f t="shared" si="22"/>
        <v>0</v>
      </c>
      <c r="E36" s="17">
        <f t="shared" si="23"/>
        <v>0</v>
      </c>
      <c r="F36" s="15">
        <v>0.85714285714285698</v>
      </c>
      <c r="G36" s="16">
        <v>0.82142857142857095</v>
      </c>
      <c r="H36" s="16">
        <f t="shared" si="24"/>
        <v>-3.5714285714286031E-2</v>
      </c>
      <c r="I36" s="17">
        <f t="shared" si="25"/>
        <v>-4.1666666666667046E-2</v>
      </c>
      <c r="J36" s="279">
        <v>24</v>
      </c>
      <c r="K36" s="280">
        <v>23</v>
      </c>
      <c r="L36" s="280">
        <f t="shared" si="26"/>
        <v>-1</v>
      </c>
      <c r="M36" s="281">
        <f t="shared" si="27"/>
        <v>-4.1666666666666664E-2</v>
      </c>
      <c r="N36" s="61">
        <v>31501188.031759214</v>
      </c>
      <c r="O36" s="62">
        <v>31173157.028191093</v>
      </c>
      <c r="P36" s="62">
        <f t="shared" si="28"/>
        <v>-328031.0035681203</v>
      </c>
      <c r="Q36" s="17">
        <f t="shared" si="29"/>
        <v>-1.0413289912666226E-2</v>
      </c>
      <c r="R36" s="67">
        <v>8.8156060000000008E-2</v>
      </c>
      <c r="S36" s="68">
        <v>0.10000000000000002</v>
      </c>
      <c r="T36" s="16">
        <f t="shared" si="30"/>
        <v>1.1843940000000011E-2</v>
      </c>
      <c r="U36" s="17">
        <f t="shared" si="31"/>
        <v>0.13435196627435494</v>
      </c>
      <c r="V36" s="288">
        <v>7.5229174970106172E-3</v>
      </c>
      <c r="W36" s="289">
        <v>4.9671084284631127E-3</v>
      </c>
      <c r="X36" s="290">
        <f t="shared" si="32"/>
        <v>-2.5558090685475045E-3</v>
      </c>
      <c r="Y36" s="281">
        <f t="shared" si="21"/>
        <v>-0.33973642135024168</v>
      </c>
      <c r="Z36" s="15">
        <v>305.1900027532198</v>
      </c>
      <c r="AA36" s="16">
        <v>317.19746776075777</v>
      </c>
      <c r="AB36" s="16">
        <f t="shared" si="33"/>
        <v>12.007465007537974</v>
      </c>
      <c r="AC36" s="17">
        <f t="shared" si="34"/>
        <v>3.9344227855482375E-2</v>
      </c>
      <c r="AD36" s="15">
        <v>1.7240377629101831</v>
      </c>
      <c r="AE36" s="16">
        <v>1.749573741818077</v>
      </c>
      <c r="AF36" s="16">
        <f t="shared" si="35"/>
        <v>2.5535978907893941E-2</v>
      </c>
      <c r="AG36" s="17">
        <f t="shared" si="36"/>
        <v>1.4811728291142011E-2</v>
      </c>
      <c r="AH36" s="15">
        <v>22.546428571</v>
      </c>
      <c r="AI36" s="16">
        <v>22.707142857000001</v>
      </c>
      <c r="AJ36" s="16">
        <f t="shared" si="37"/>
        <v>0.16071428600000104</v>
      </c>
      <c r="AK36" s="17">
        <f t="shared" si="38"/>
        <v>7.1281482782917264E-3</v>
      </c>
      <c r="AL36" s="15">
        <v>24.820115272500001</v>
      </c>
      <c r="AM36" s="16">
        <v>25.254081145000001</v>
      </c>
      <c r="AN36" s="16">
        <f t="shared" si="39"/>
        <v>0.43396587249999996</v>
      </c>
      <c r="AO36" s="17">
        <f t="shared" si="40"/>
        <v>1.7484442265295282E-2</v>
      </c>
    </row>
    <row r="37" spans="1:41" x14ac:dyDescent="0.3">
      <c r="A37" s="1" t="s">
        <v>10</v>
      </c>
      <c r="B37" s="23">
        <v>28</v>
      </c>
      <c r="C37" s="24">
        <v>28</v>
      </c>
      <c r="D37" s="24">
        <f t="shared" si="22"/>
        <v>0</v>
      </c>
      <c r="E37" s="80">
        <f t="shared" si="23"/>
        <v>0</v>
      </c>
      <c r="F37" s="15">
        <v>0.78571428571428603</v>
      </c>
      <c r="G37" s="16">
        <v>0.82142857142857095</v>
      </c>
      <c r="H37" s="16">
        <f t="shared" si="24"/>
        <v>3.5714285714284921E-2</v>
      </c>
      <c r="I37" s="80">
        <f t="shared" si="25"/>
        <v>4.5454545454544429E-2</v>
      </c>
      <c r="J37" s="279">
        <v>22</v>
      </c>
      <c r="K37" s="280">
        <v>23</v>
      </c>
      <c r="L37" s="280">
        <f t="shared" si="26"/>
        <v>1</v>
      </c>
      <c r="M37" s="281">
        <f t="shared" si="27"/>
        <v>4.5454545454545456E-2</v>
      </c>
      <c r="N37" s="61">
        <v>31501188.031759214</v>
      </c>
      <c r="O37" s="62">
        <v>31173157.028191093</v>
      </c>
      <c r="P37" s="62">
        <f t="shared" si="28"/>
        <v>-328031.0035681203</v>
      </c>
      <c r="Q37" s="80">
        <f t="shared" si="29"/>
        <v>-1.0413289912666226E-2</v>
      </c>
      <c r="R37" s="67">
        <v>8.8156060000000008E-2</v>
      </c>
      <c r="S37" s="68">
        <v>0.10000000000000002</v>
      </c>
      <c r="T37" s="16">
        <f t="shared" si="30"/>
        <v>1.1843940000000011E-2</v>
      </c>
      <c r="U37" s="80">
        <f t="shared" si="31"/>
        <v>0.13435196627435494</v>
      </c>
      <c r="V37" s="288">
        <v>4.2031350442566229E-3</v>
      </c>
      <c r="W37" s="289">
        <v>4.0335941882388097E-3</v>
      </c>
      <c r="X37" s="290">
        <f t="shared" si="32"/>
        <v>-1.695408560178132E-4</v>
      </c>
      <c r="Y37" s="281">
        <f t="shared" si="21"/>
        <v>-4.03367615440961E-2</v>
      </c>
      <c r="Z37" s="15">
        <v>309.78090671316471</v>
      </c>
      <c r="AA37" s="16">
        <v>318.78345509956154</v>
      </c>
      <c r="AB37" s="16">
        <f t="shared" si="33"/>
        <v>9.0025483863968248</v>
      </c>
      <c r="AC37" s="80">
        <f t="shared" si="34"/>
        <v>2.9061017613756776E-2</v>
      </c>
      <c r="AD37" s="15">
        <v>1.7406907215530767</v>
      </c>
      <c r="AE37" s="16">
        <v>1.7583216105271673</v>
      </c>
      <c r="AF37" s="16">
        <f t="shared" si="35"/>
        <v>1.7630888974090597E-2</v>
      </c>
      <c r="AG37" s="80">
        <f t="shared" si="36"/>
        <v>1.0128674069314272E-2</v>
      </c>
      <c r="AH37" s="15">
        <v>27.26071428525</v>
      </c>
      <c r="AI37" s="16">
        <v>25.553571428249999</v>
      </c>
      <c r="AJ37" s="16">
        <f t="shared" si="37"/>
        <v>-1.7071428570000009</v>
      </c>
      <c r="AK37" s="80">
        <f t="shared" si="38"/>
        <v>-6.2622821953116886E-2</v>
      </c>
      <c r="AL37" s="15">
        <v>27.9213897775</v>
      </c>
      <c r="AM37" s="16">
        <v>27.185594545000001</v>
      </c>
      <c r="AN37" s="16">
        <f t="shared" si="39"/>
        <v>-0.73579523249999923</v>
      </c>
      <c r="AO37" s="80">
        <f t="shared" si="40"/>
        <v>-2.6352385692954578E-2</v>
      </c>
    </row>
    <row r="38" spans="1:41" ht="15" thickBot="1" x14ac:dyDescent="0.35">
      <c r="A38" s="4" t="s">
        <v>11</v>
      </c>
      <c r="B38" s="25">
        <v>39</v>
      </c>
      <c r="C38" s="26">
        <v>41</v>
      </c>
      <c r="D38" s="26">
        <f t="shared" si="22"/>
        <v>2</v>
      </c>
      <c r="E38" s="20">
        <f t="shared" si="23"/>
        <v>5.128205128205128E-2</v>
      </c>
      <c r="F38" s="18">
        <v>0.831168831168831</v>
      </c>
      <c r="G38" s="19">
        <v>0.83956043956044002</v>
      </c>
      <c r="H38" s="19">
        <f t="shared" si="24"/>
        <v>8.3916083916090178E-3</v>
      </c>
      <c r="I38" s="20">
        <f t="shared" si="25"/>
        <v>1.0096153846154601E-2</v>
      </c>
      <c r="J38" s="282">
        <v>32</v>
      </c>
      <c r="K38" s="283">
        <v>34</v>
      </c>
      <c r="L38" s="283">
        <f t="shared" si="26"/>
        <v>2</v>
      </c>
      <c r="M38" s="284">
        <f t="shared" si="27"/>
        <v>6.25E-2</v>
      </c>
      <c r="N38" s="63">
        <v>31501188.031759214</v>
      </c>
      <c r="O38" s="64">
        <v>31173157.028191093</v>
      </c>
      <c r="P38" s="64">
        <f t="shared" si="28"/>
        <v>-328031.0035681203</v>
      </c>
      <c r="Q38" s="20">
        <f t="shared" si="29"/>
        <v>-1.0413289912666226E-2</v>
      </c>
      <c r="R38" s="69">
        <v>8.8156060000000008E-2</v>
      </c>
      <c r="S38" s="70">
        <v>0.10000000000000002</v>
      </c>
      <c r="T38" s="19">
        <f t="shared" si="30"/>
        <v>1.1843940000000011E-2</v>
      </c>
      <c r="U38" s="20">
        <f t="shared" si="31"/>
        <v>0.13435196627435494</v>
      </c>
      <c r="V38" s="291">
        <v>-2.9545006893827441E-4</v>
      </c>
      <c r="W38" s="292">
        <v>5.0000000000000001E-3</v>
      </c>
      <c r="X38" s="293">
        <f t="shared" si="32"/>
        <v>5.2954500689382745E-3</v>
      </c>
      <c r="Y38" s="284">
        <f t="shared" si="21"/>
        <v>17.923333333337631</v>
      </c>
      <c r="Z38" s="18">
        <v>306.67599445460905</v>
      </c>
      <c r="AA38" s="19">
        <v>320.37737237505934</v>
      </c>
      <c r="AB38" s="19">
        <f t="shared" si="33"/>
        <v>13.701377920450284</v>
      </c>
      <c r="AC38" s="20">
        <f t="shared" si="34"/>
        <v>4.467704733400063E-2</v>
      </c>
      <c r="AD38" s="18">
        <v>1.7157331343085038</v>
      </c>
      <c r="AE38" s="19">
        <v>1.7583216105271675</v>
      </c>
      <c r="AF38" s="19">
        <f t="shared" si="35"/>
        <v>4.2588476218663684E-2</v>
      </c>
      <c r="AG38" s="20">
        <f t="shared" si="36"/>
        <v>2.4822319606147971E-2</v>
      </c>
      <c r="AH38" s="18">
        <v>28.8199999996</v>
      </c>
      <c r="AI38" s="19">
        <v>28.838241757799999</v>
      </c>
      <c r="AJ38" s="19">
        <f t="shared" si="37"/>
        <v>1.8241758199998515E-2</v>
      </c>
      <c r="AK38" s="20">
        <f t="shared" si="38"/>
        <v>6.3295482998791447E-4</v>
      </c>
      <c r="AL38" s="18">
        <v>30.695088972000001</v>
      </c>
      <c r="AM38" s="19">
        <v>29.542464282000001</v>
      </c>
      <c r="AN38" s="19">
        <f t="shared" si="39"/>
        <v>-1.1526246899999997</v>
      </c>
      <c r="AO38" s="20">
        <f t="shared" si="40"/>
        <v>-3.7550785112609432E-2</v>
      </c>
    </row>
    <row r="39" spans="1:41" ht="15" thickBot="1" x14ac:dyDescent="0.35">
      <c r="A39" s="4" t="s">
        <v>15</v>
      </c>
      <c r="B39" s="25">
        <f>SUM(B27:B38)</f>
        <v>365</v>
      </c>
      <c r="C39" s="26">
        <f>SUM(C27:C38)</f>
        <v>366</v>
      </c>
      <c r="D39" s="26">
        <f>C39-B39</f>
        <v>1</v>
      </c>
      <c r="E39" s="83">
        <f>(C39-B39)/B39</f>
        <v>2.7397260273972603E-3</v>
      </c>
      <c r="F39" s="18">
        <f>(4*SUM(F27:F28,F30:F31,F33:F34,F36:F37)+5*SUM(F29,F32,F35,F38))/52</f>
        <v>0.83884865134865128</v>
      </c>
      <c r="G39" s="19">
        <f>(4*SUM(G27:G28,G30:G31,G33:G34,G36:G37)+5*SUM(G29,G32,G35,G38))/52</f>
        <v>0.82156945618484079</v>
      </c>
      <c r="H39" s="19">
        <f t="shared" ref="H39" si="41">G39-F39</f>
        <v>-1.727919516381049E-2</v>
      </c>
      <c r="I39" s="83">
        <f t="shared" ref="I39" si="42">(G39-F39)/F39</f>
        <v>-2.0598704111915805E-2</v>
      </c>
      <c r="J39" s="285">
        <f>SUM(J27:J38)</f>
        <v>306</v>
      </c>
      <c r="K39" s="286">
        <f>SUM(K27:K38)</f>
        <v>301</v>
      </c>
      <c r="L39" s="286">
        <f t="shared" ref="L39" si="43">K39-J39</f>
        <v>-5</v>
      </c>
      <c r="M39" s="287">
        <f t="shared" ref="M39" si="44">(K39-J39)/J39</f>
        <v>-1.6339869281045753E-2</v>
      </c>
      <c r="N39" s="63">
        <f>(4*SUM(N27:N28,N30:N31,N33:N34,N36:N37)+5*SUM(N29,N32,N35,N38))/52</f>
        <v>28146912.044088237</v>
      </c>
      <c r="O39" s="64">
        <f>(4*SUM(O27:O28,O30:O31,O33:O34,O36:O37)+5*SUM(O29,O32,O35,O38))/52</f>
        <v>29611087.731544718</v>
      </c>
      <c r="P39" s="64">
        <f t="shared" ref="P39" si="45">O39-N39</f>
        <v>1464175.6874564812</v>
      </c>
      <c r="Q39" s="83">
        <f t="shared" ref="Q39" si="46">(O39-N39)/N39</f>
        <v>5.2019052220117531E-2</v>
      </c>
      <c r="R39" s="69">
        <f>(4*SUM(R27:R28,R30:R31,R33:R34,R36:R37)+5*SUM(R29,R32,R35,R38))/52</f>
        <v>8.9240225000000006E-2</v>
      </c>
      <c r="S39" s="70">
        <f>(4*SUM(S27:S28,S30:S31,S33:S34,S36:S37)+5*SUM(S29,S32,S35,S38))/52</f>
        <v>0.10099605083333334</v>
      </c>
      <c r="T39" s="19">
        <f t="shared" ref="T39" si="47">S39-R39</f>
        <v>1.175582583333333E-2</v>
      </c>
      <c r="U39" s="83">
        <f t="shared" ref="U39" si="48">(S39-R39)/R39</f>
        <v>0.13173236433831637</v>
      </c>
      <c r="V39" s="294">
        <f>PRODUCT((1+V27),(1+V28),(1+V29),(1+V30),(1+V31),(1+V32),(1+V33),(1+V34),(1+V35),(1+V36),(1+V37),(1+V38))-1</f>
        <v>8.7977859854416307E-2</v>
      </c>
      <c r="W39" s="295">
        <f>PRODUCT((1+W27),(1+W28),(1+W29),(1+W30),(1+W31),(1+W32),(1+W33),(1+W34),(1+W35),(1+W36),(1+W37),(1+W38))-1</f>
        <v>0.10209175156349648</v>
      </c>
      <c r="X39" s="296">
        <f t="shared" ref="X39" si="49">W39-V39</f>
        <v>1.4113891709080173E-2</v>
      </c>
      <c r="Y39" s="287">
        <f t="shared" ref="Y39" si="50">(W39-V39)/V39</f>
        <v>0.16042549491923888</v>
      </c>
      <c r="Z39" s="18">
        <f>(4*SUM(Z27:Z28,Z30:Z31,Z33:Z34,Z36:Z37)+5*SUM(Z29,Z32,Z35,Z38))/52</f>
        <v>297.20647021730133</v>
      </c>
      <c r="AA39" s="19">
        <f>(4*SUM(AA27:AA28,AA30:AA31,AA33:AA34,AA36:AA37)+5*SUM(AA29,AA32,AA35,AA38))/52</f>
        <v>315.19366397033849</v>
      </c>
      <c r="AB39" s="19">
        <f t="shared" ref="AB39" si="51">AA39-Z39</f>
        <v>17.987193753037161</v>
      </c>
      <c r="AC39" s="83">
        <f t="shared" ref="AC39" si="52">(AA39-Z39)/Z39</f>
        <v>6.0520868673841106E-2</v>
      </c>
      <c r="AD39" s="18">
        <f>(4*SUM(AD27:AD28,AD30:AD31,AD33:AD34,AD36:AD37)+5*SUM(AD29,AD32,AD35,AD38))/52</f>
        <v>1.6923352844590385</v>
      </c>
      <c r="AE39" s="19">
        <f>(4*SUM(AE27:AE28,AE30:AE31,AE33:AE34,AE36:AE37)+5*SUM(AE29,AE32,AE35,AE38))/52</f>
        <v>1.7486455892265307</v>
      </c>
      <c r="AF39" s="19">
        <f t="shared" ref="AF39" si="53">AE39-AD39</f>
        <v>5.6310304767492214E-2</v>
      </c>
      <c r="AG39" s="83">
        <f t="shared" ref="AG39" si="54">(AE39-AD39)/AD39</f>
        <v>3.3273728489028119E-2</v>
      </c>
      <c r="AH39" s="18">
        <f>(4*SUM(AH27:AH28,AH30:AH31,AH33:AH34,AH36:AH37)+5*SUM(AH29,AH32,AH35,AH38))/52</f>
        <v>23.386126373211543</v>
      </c>
      <c r="AI39" s="19">
        <f>(4*SUM(AI27:AI28,AI30:AI31,AI33:AI34,AI36:AI37)+5*SUM(AI29,AI32,AI35,AI38))/52</f>
        <v>23.778036066115384</v>
      </c>
      <c r="AJ39" s="19">
        <f t="shared" ref="AJ39" si="55">AI39-AH39</f>
        <v>0.39190969290384103</v>
      </c>
      <c r="AK39" s="83">
        <f t="shared" ref="AK39" si="56">(AI39-AH39)/AH39</f>
        <v>1.6758213252142849E-2</v>
      </c>
      <c r="AL39" s="18">
        <f>(4*SUM(AL27:AL28,AL30:AL31,AL33:AL34,AL36:AL37)+5*SUM(AL29,AL32,AL35,AL38))/52</f>
        <v>24.512333040961536</v>
      </c>
      <c r="AM39" s="19">
        <f>(4*SUM(AM27:AM28,AM30:AM31,AM33:AM34,AM36:AM37)+5*SUM(AM29,AM32,AM35,AM38))/52</f>
        <v>25.083992860769232</v>
      </c>
      <c r="AN39" s="19">
        <f>AM39-AL39</f>
        <v>0.57165981980769587</v>
      </c>
      <c r="AO39" s="169">
        <f>(AM39-AL39)/AL39</f>
        <v>2.3321314166726562E-2</v>
      </c>
    </row>
  </sheetData>
  <mergeCells count="44">
    <mergeCell ref="AL1:AO5"/>
    <mergeCell ref="AL7:AO7"/>
    <mergeCell ref="AL8:AO8"/>
    <mergeCell ref="AL24:AO24"/>
    <mergeCell ref="AL25:AO25"/>
    <mergeCell ref="B1:E5"/>
    <mergeCell ref="B8:E8"/>
    <mergeCell ref="B25:E25"/>
    <mergeCell ref="B7:M7"/>
    <mergeCell ref="B24:M24"/>
    <mergeCell ref="F8:I8"/>
    <mergeCell ref="Z8:AC8"/>
    <mergeCell ref="AD1:AG5"/>
    <mergeCell ref="AH1:AK5"/>
    <mergeCell ref="Z7:AC7"/>
    <mergeCell ref="AD7:AG7"/>
    <mergeCell ref="AH7:AK7"/>
    <mergeCell ref="F1:I5"/>
    <mergeCell ref="Z1:AC5"/>
    <mergeCell ref="J1:M5"/>
    <mergeCell ref="J8:M8"/>
    <mergeCell ref="V7:Y7"/>
    <mergeCell ref="N7:U7"/>
    <mergeCell ref="R1:U5"/>
    <mergeCell ref="AH24:AK24"/>
    <mergeCell ref="N24:U24"/>
    <mergeCell ref="V24:Y24"/>
    <mergeCell ref="R8:U8"/>
    <mergeCell ref="V1:Y5"/>
    <mergeCell ref="V8:Y8"/>
    <mergeCell ref="N1:Q5"/>
    <mergeCell ref="N8:Q8"/>
    <mergeCell ref="AD8:AG8"/>
    <mergeCell ref="AH8:AK8"/>
    <mergeCell ref="F25:I25"/>
    <mergeCell ref="Z25:AC25"/>
    <mergeCell ref="AD25:AG25"/>
    <mergeCell ref="Z24:AC24"/>
    <mergeCell ref="AD24:AG24"/>
    <mergeCell ref="AH25:AK25"/>
    <mergeCell ref="V25:Y25"/>
    <mergeCell ref="J25:M25"/>
    <mergeCell ref="N25:Q25"/>
    <mergeCell ref="R25:U25"/>
  </mergeCells>
  <pageMargins left="0.7" right="0.7" top="0.75" bottom="0.75" header="0.3" footer="0.3"/>
  <pageSetup orientation="portrait" r:id="rId1"/>
  <headerFooter>
    <oddFooter>&amp;C&amp;1#&amp;"Calibri"&amp;10&amp;K000000Classified - Confidential</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M37"/>
  <sheetViews>
    <sheetView showGridLines="0" zoomScale="80" zoomScaleNormal="80" workbookViewId="0">
      <selection activeCell="F9" sqref="F9"/>
    </sheetView>
  </sheetViews>
  <sheetFormatPr baseColWidth="10" defaultColWidth="9.109375" defaultRowHeight="14.4" outlineLevelRow="1" x14ac:dyDescent="0.3"/>
  <cols>
    <col min="1" max="1" width="18.88671875" bestFit="1" customWidth="1"/>
    <col min="2" max="2" width="13.44140625" bestFit="1" customWidth="1"/>
    <col min="3" max="3" width="12" bestFit="1" customWidth="1"/>
    <col min="4" max="4" width="13" bestFit="1" customWidth="1"/>
    <col min="5" max="5" width="13.44140625" bestFit="1" customWidth="1"/>
    <col min="6" max="6" width="18.88671875" customWidth="1"/>
    <col min="7" max="7" width="11.33203125" bestFit="1" customWidth="1"/>
    <col min="8" max="8" width="9.6640625" customWidth="1"/>
    <col min="9" max="9" width="15" bestFit="1" customWidth="1"/>
    <col min="10" max="10" width="13.44140625" bestFit="1" customWidth="1"/>
    <col min="11" max="11" width="12.6640625" customWidth="1"/>
    <col min="12" max="12" width="15" bestFit="1" customWidth="1"/>
    <col min="13" max="13" width="57.6640625" customWidth="1"/>
  </cols>
  <sheetData>
    <row r="1" spans="1:13" ht="15" customHeight="1" x14ac:dyDescent="0.3">
      <c r="B1" s="328" t="s">
        <v>50</v>
      </c>
      <c r="C1" s="328"/>
      <c r="D1" s="328"/>
      <c r="E1" s="328"/>
      <c r="F1" s="328"/>
      <c r="G1" s="328"/>
      <c r="H1" s="328"/>
      <c r="I1" s="328"/>
      <c r="J1" s="328"/>
    </row>
    <row r="2" spans="1:13" ht="15" customHeight="1" x14ac:dyDescent="0.3">
      <c r="B2" s="328"/>
      <c r="C2" s="328"/>
      <c r="D2" s="328"/>
      <c r="E2" s="328"/>
      <c r="F2" s="328"/>
      <c r="G2" s="328"/>
      <c r="H2" s="328"/>
      <c r="I2" s="328"/>
      <c r="J2" s="328"/>
    </row>
    <row r="3" spans="1:13" s="250" customFormat="1" x14ac:dyDescent="0.3">
      <c r="A3" s="306" t="str">
        <f>'Andina DT'!A2:J2</f>
        <v>w47</v>
      </c>
      <c r="B3" s="306"/>
      <c r="C3" s="306"/>
      <c r="D3" s="306"/>
      <c r="E3" s="306"/>
      <c r="F3" s="306"/>
      <c r="G3" s="306"/>
      <c r="H3" s="306"/>
      <c r="I3" s="306"/>
      <c r="J3" s="306"/>
      <c r="K3" s="3"/>
      <c r="L3" s="3"/>
      <c r="M3" s="27"/>
    </row>
    <row r="4" spans="1:13" s="250" customFormat="1" ht="28.8" x14ac:dyDescent="0.3">
      <c r="A4" s="5" t="s">
        <v>34</v>
      </c>
      <c r="B4" s="5" t="s">
        <v>26</v>
      </c>
      <c r="C4" s="40" t="s">
        <v>21</v>
      </c>
      <c r="D4" s="40" t="s">
        <v>22</v>
      </c>
      <c r="E4" s="40" t="s">
        <v>23</v>
      </c>
      <c r="F4" s="40" t="s">
        <v>24</v>
      </c>
      <c r="G4" s="40" t="s">
        <v>25</v>
      </c>
      <c r="H4" s="40" t="s">
        <v>67</v>
      </c>
      <c r="I4" s="5" t="s">
        <v>62</v>
      </c>
      <c r="J4" s="5" t="s">
        <v>65</v>
      </c>
      <c r="K4" s="5" t="s">
        <v>53</v>
      </c>
      <c r="L4" s="3"/>
      <c r="M4" s="130" t="str">
        <f>"Comentarios "&amp;A3</f>
        <v>Comentarios w47</v>
      </c>
    </row>
    <row r="5" spans="1:13" s="250" customFormat="1" x14ac:dyDescent="0.3">
      <c r="A5" s="6" t="s">
        <v>0</v>
      </c>
      <c r="B5" s="7">
        <v>20129428.437658001</v>
      </c>
      <c r="C5" s="7">
        <v>-40817.151040500903</v>
      </c>
      <c r="D5" s="7">
        <v>23787.748145641101</v>
      </c>
      <c r="E5" s="7">
        <v>620501.44221636397</v>
      </c>
      <c r="F5" s="7">
        <v>-402584.21757558698</v>
      </c>
      <c r="G5" s="7">
        <v>532906.96882730303</v>
      </c>
      <c r="H5" s="7">
        <v>1</v>
      </c>
      <c r="I5" s="7">
        <v>-408441.94877704751</v>
      </c>
      <c r="J5" s="7">
        <f t="shared" ref="J5:J16" si="0">SUM(B5:I5)</f>
        <v>20454782.279454172</v>
      </c>
      <c r="K5" s="123">
        <f t="shared" ref="K5:K17" si="1">J5/B5-1</f>
        <v>1.6163093890311453E-2</v>
      </c>
      <c r="L5" s="175"/>
      <c r="M5" s="112"/>
    </row>
    <row r="6" spans="1:13" s="250" customFormat="1" x14ac:dyDescent="0.3">
      <c r="A6" s="6" t="s">
        <v>1</v>
      </c>
      <c r="B6" s="7">
        <v>26311162.376224</v>
      </c>
      <c r="C6" s="7">
        <v>556748.65893658996</v>
      </c>
      <c r="D6" s="7">
        <v>-319195.66493037198</v>
      </c>
      <c r="E6" s="7">
        <v>472169.23987802299</v>
      </c>
      <c r="F6" s="7">
        <v>-415100.19987387798</v>
      </c>
      <c r="G6" s="7">
        <v>-884173.54247573996</v>
      </c>
      <c r="H6" s="7">
        <v>1</v>
      </c>
      <c r="I6" s="7">
        <v>-158090.84665890501</v>
      </c>
      <c r="J6" s="7">
        <f t="shared" si="0"/>
        <v>25563521.021099713</v>
      </c>
      <c r="K6" s="124">
        <f t="shared" si="1"/>
        <v>-2.8415367760410759E-2</v>
      </c>
      <c r="L6" s="175"/>
      <c r="M6" s="112"/>
    </row>
    <row r="7" spans="1:13" s="250" customFormat="1" x14ac:dyDescent="0.3">
      <c r="A7" s="6" t="s">
        <v>2</v>
      </c>
      <c r="B7" s="7">
        <v>32058052.493577</v>
      </c>
      <c r="C7" s="7">
        <v>23168.302107150001</v>
      </c>
      <c r="D7" s="7">
        <v>-376833.98807443702</v>
      </c>
      <c r="E7" s="7">
        <v>-2215500.2615482402</v>
      </c>
      <c r="F7" s="7">
        <v>-221895.51452208299</v>
      </c>
      <c r="G7" s="7">
        <v>1168956.5293010499</v>
      </c>
      <c r="H7" s="7">
        <v>1</v>
      </c>
      <c r="I7" s="7">
        <v>-104441.3867022184</v>
      </c>
      <c r="J7" s="7">
        <f t="shared" si="0"/>
        <v>30331507.174138226</v>
      </c>
      <c r="K7" s="124">
        <f t="shared" si="1"/>
        <v>-5.3856837366670907E-2</v>
      </c>
      <c r="L7" s="175"/>
      <c r="M7" s="112"/>
    </row>
    <row r="8" spans="1:13" s="250" customFormat="1" ht="15" customHeight="1" x14ac:dyDescent="0.3">
      <c r="A8" s="6" t="s">
        <v>3</v>
      </c>
      <c r="B8" s="7">
        <v>21456523.052358001</v>
      </c>
      <c r="C8" s="7">
        <v>11626.199241972001</v>
      </c>
      <c r="D8" s="7">
        <v>-828266.83925241302</v>
      </c>
      <c r="E8" s="7">
        <v>-1375786.2265671752</v>
      </c>
      <c r="F8" s="7">
        <v>-94283.321747965296</v>
      </c>
      <c r="G8" s="7">
        <v>828370.46922388999</v>
      </c>
      <c r="H8" s="7">
        <v>1</v>
      </c>
      <c r="I8" s="7">
        <v>-347878.97797341261</v>
      </c>
      <c r="J8" s="7">
        <f t="shared" si="0"/>
        <v>19650305.355282899</v>
      </c>
      <c r="K8" s="124">
        <f t="shared" si="1"/>
        <v>-8.4180353576746247E-2</v>
      </c>
      <c r="L8" s="175"/>
      <c r="M8" s="317"/>
    </row>
    <row r="9" spans="1:13" s="250" customFormat="1" ht="15" customHeight="1" x14ac:dyDescent="0.3">
      <c r="A9" s="6" t="s">
        <v>4</v>
      </c>
      <c r="B9" s="7">
        <v>21212145.551192999</v>
      </c>
      <c r="C9" s="7">
        <v>332372.28243098001</v>
      </c>
      <c r="D9" s="7">
        <v>-2247402.9993101899</v>
      </c>
      <c r="E9" s="7">
        <v>-2142709.1868634159</v>
      </c>
      <c r="F9" s="7">
        <v>-301100.49316386</v>
      </c>
      <c r="G9" s="7">
        <v>660295.26168493996</v>
      </c>
      <c r="H9" s="7">
        <v>1</v>
      </c>
      <c r="I9" s="7">
        <v>-111055.05285089939</v>
      </c>
      <c r="J9" s="7">
        <f t="shared" si="0"/>
        <v>17402546.363120552</v>
      </c>
      <c r="K9" s="124">
        <f t="shared" si="1"/>
        <v>-0.17959518422492582</v>
      </c>
      <c r="L9" s="175"/>
      <c r="M9" s="317"/>
    </row>
    <row r="10" spans="1:13" s="250" customFormat="1" ht="15" customHeight="1" x14ac:dyDescent="0.3">
      <c r="A10" s="6" t="s">
        <v>5</v>
      </c>
      <c r="B10" s="7">
        <v>22870915.674423002</v>
      </c>
      <c r="C10" s="7">
        <v>-1073412.57573382</v>
      </c>
      <c r="D10" s="7">
        <v>-2427078.0525354301</v>
      </c>
      <c r="E10" s="7">
        <v>-2973426.3795348452</v>
      </c>
      <c r="F10" s="7">
        <v>-1193992.0951423701</v>
      </c>
      <c r="G10" s="7">
        <v>720212.57446076197</v>
      </c>
      <c r="H10" s="7">
        <v>1</v>
      </c>
      <c r="I10" s="7">
        <v>-240918.9567248128</v>
      </c>
      <c r="J10" s="7">
        <f t="shared" si="0"/>
        <v>15682301.189212488</v>
      </c>
      <c r="K10" s="124">
        <f t="shared" si="1"/>
        <v>-0.31431249135554651</v>
      </c>
      <c r="L10" s="175"/>
      <c r="M10" s="112"/>
    </row>
    <row r="11" spans="1:13" s="250" customFormat="1" ht="15" customHeight="1" x14ac:dyDescent="0.3">
      <c r="A11" s="6" t="s">
        <v>6</v>
      </c>
      <c r="B11" s="7">
        <v>17838398.199767001</v>
      </c>
      <c r="C11" s="7">
        <v>937874.86905668199</v>
      </c>
      <c r="D11" s="7">
        <v>-1488429.4641789901</v>
      </c>
      <c r="E11" s="7">
        <v>-540633.69909360004</v>
      </c>
      <c r="F11" s="7">
        <v>-124799.929370553</v>
      </c>
      <c r="G11" s="7">
        <v>68395.089820730995</v>
      </c>
      <c r="H11" s="7">
        <v>1</v>
      </c>
      <c r="I11" s="7">
        <v>-293158.25700200803</v>
      </c>
      <c r="J11" s="7">
        <f t="shared" si="0"/>
        <v>16397647.808999265</v>
      </c>
      <c r="K11" s="124">
        <f t="shared" si="1"/>
        <v>-8.0766802861624409E-2</v>
      </c>
      <c r="L11" s="175"/>
      <c r="M11" s="317"/>
    </row>
    <row r="12" spans="1:13" s="250" customFormat="1" x14ac:dyDescent="0.3">
      <c r="A12" s="6" t="s">
        <v>7</v>
      </c>
      <c r="B12" s="7">
        <v>18079380.530768</v>
      </c>
      <c r="C12" s="7">
        <v>160340.49435217999</v>
      </c>
      <c r="D12" s="7">
        <v>-617415.40079167602</v>
      </c>
      <c r="E12" s="7">
        <v>-272169.69069529406</v>
      </c>
      <c r="F12" s="7">
        <v>-152330.99904929599</v>
      </c>
      <c r="G12" s="7">
        <v>301642.38077860302</v>
      </c>
      <c r="H12" s="7">
        <v>1</v>
      </c>
      <c r="I12" s="7">
        <v>-96220.821522348808</v>
      </c>
      <c r="J12" s="7">
        <f t="shared" si="0"/>
        <v>17403227.493840173</v>
      </c>
      <c r="K12" s="124">
        <f t="shared" si="1"/>
        <v>-3.7399126357074541E-2</v>
      </c>
      <c r="L12" s="175"/>
      <c r="M12" s="317"/>
    </row>
    <row r="13" spans="1:13" s="250" customFormat="1" x14ac:dyDescent="0.3">
      <c r="A13" s="6" t="s">
        <v>8</v>
      </c>
      <c r="B13" s="7">
        <v>23764393.965071999</v>
      </c>
      <c r="C13" s="7">
        <v>281159.09814710298</v>
      </c>
      <c r="D13" s="7">
        <v>-816782.85692267399</v>
      </c>
      <c r="E13" s="7">
        <v>-616013.91039235564</v>
      </c>
      <c r="F13" s="7">
        <v>-65941.000900642</v>
      </c>
      <c r="G13" s="7">
        <v>745650.26634952903</v>
      </c>
      <c r="H13" s="7">
        <v>1</v>
      </c>
      <c r="I13" s="7">
        <v>-86193.542685117005</v>
      </c>
      <c r="J13" s="7">
        <f t="shared" si="0"/>
        <v>23206273.018667839</v>
      </c>
      <c r="K13" s="124">
        <f t="shared" si="1"/>
        <v>-2.3485595602583564E-2</v>
      </c>
      <c r="L13" s="175"/>
      <c r="M13" s="248"/>
    </row>
    <row r="14" spans="1:13" s="250" customFormat="1" x14ac:dyDescent="0.3">
      <c r="A14" s="6" t="s">
        <v>9</v>
      </c>
      <c r="B14" s="7">
        <v>19132759.358853001</v>
      </c>
      <c r="C14" s="7">
        <v>0</v>
      </c>
      <c r="D14" s="7">
        <v>-579564.61635181599</v>
      </c>
      <c r="E14" s="7">
        <v>-901250.14048537437</v>
      </c>
      <c r="F14" s="7">
        <v>-34617.700648548598</v>
      </c>
      <c r="G14" s="7">
        <v>1440983.7750217</v>
      </c>
      <c r="H14" s="7">
        <v>1</v>
      </c>
      <c r="I14" s="7">
        <v>-2225.8407767024601</v>
      </c>
      <c r="J14" s="7">
        <f t="shared" si="0"/>
        <v>19056085.835612252</v>
      </c>
      <c r="K14" s="124">
        <f t="shared" si="1"/>
        <v>-4.007447216716864E-3</v>
      </c>
      <c r="L14" s="175"/>
      <c r="M14" s="96"/>
    </row>
    <row r="15" spans="1:13" s="250" customFormat="1" x14ac:dyDescent="0.3">
      <c r="A15" s="6" t="s">
        <v>10</v>
      </c>
      <c r="B15" s="7">
        <v>21043841.759656001</v>
      </c>
      <c r="C15" s="7">
        <v>497403.63778191397</v>
      </c>
      <c r="D15" s="7">
        <v>-367479.68326229701</v>
      </c>
      <c r="E15" s="7">
        <v>-429384.51121572481</v>
      </c>
      <c r="F15" s="7">
        <v>-197626.85072189101</v>
      </c>
      <c r="G15" s="7">
        <v>1107933.4552957099</v>
      </c>
      <c r="H15" s="7">
        <v>1</v>
      </c>
      <c r="I15" s="7">
        <v>-74118.099110030511</v>
      </c>
      <c r="J15" s="7">
        <f t="shared" si="0"/>
        <v>21580570.708423682</v>
      </c>
      <c r="K15" s="124">
        <f t="shared" si="1"/>
        <v>2.5505273937036721E-2</v>
      </c>
      <c r="L15" s="175"/>
      <c r="M15" s="96"/>
    </row>
    <row r="16" spans="1:13" s="250" customFormat="1" x14ac:dyDescent="0.3">
      <c r="A16" s="6" t="s">
        <v>11</v>
      </c>
      <c r="B16" s="7">
        <v>37508577.012097999</v>
      </c>
      <c r="C16" s="7">
        <v>-1051360.59444423</v>
      </c>
      <c r="D16" s="7">
        <v>-605310.98018390697</v>
      </c>
      <c r="E16" s="7">
        <v>-1117304.345169056</v>
      </c>
      <c r="F16" s="7">
        <v>55501.997866997503</v>
      </c>
      <c r="G16" s="7">
        <v>373159.10155219497</v>
      </c>
      <c r="H16" s="7">
        <v>1</v>
      </c>
      <c r="I16" s="7">
        <v>-296632.52037808299</v>
      </c>
      <c r="J16" s="7">
        <f t="shared" si="0"/>
        <v>34866630.671341918</v>
      </c>
      <c r="K16" s="124">
        <f t="shared" si="1"/>
        <v>-7.0435792323018553E-2</v>
      </c>
      <c r="L16" s="175"/>
      <c r="M16" s="96"/>
    </row>
    <row r="17" spans="1:13" s="250" customFormat="1" x14ac:dyDescent="0.3">
      <c r="A17" s="8" t="s">
        <v>27</v>
      </c>
      <c r="B17" s="9">
        <f t="shared" ref="B17:J17" si="2">SUM(B5:B16)</f>
        <v>281405578.41164702</v>
      </c>
      <c r="C17" s="9">
        <f t="shared" si="2"/>
        <v>635103.22083601984</v>
      </c>
      <c r="D17" s="9">
        <f t="shared" si="2"/>
        <v>-10649972.797648562</v>
      </c>
      <c r="E17" s="9">
        <f t="shared" si="2"/>
        <v>-11491507.669470692</v>
      </c>
      <c r="F17" s="9">
        <f t="shared" si="2"/>
        <v>-3148770.3248496763</v>
      </c>
      <c r="G17" s="9">
        <f t="shared" si="2"/>
        <v>7064332.3298406731</v>
      </c>
      <c r="H17" s="9">
        <f t="shared" si="2"/>
        <v>12</v>
      </c>
      <c r="I17" s="9">
        <f>SUM(I5:I16)</f>
        <v>-2219376.2511615856</v>
      </c>
      <c r="J17" s="9">
        <f t="shared" si="2"/>
        <v>261595398.91919318</v>
      </c>
      <c r="K17" s="145">
        <f t="shared" si="1"/>
        <v>-7.0397252265820498E-2</v>
      </c>
      <c r="L17" s="28"/>
      <c r="M17" s="96"/>
    </row>
    <row r="18" spans="1:13" s="250" customFormat="1" x14ac:dyDescent="0.3">
      <c r="I18" s="88"/>
      <c r="K18" s="3"/>
      <c r="L18" s="3"/>
      <c r="M18" s="27"/>
    </row>
    <row r="19" spans="1:13" s="250" customFormat="1" ht="28.8" outlineLevel="1" x14ac:dyDescent="0.3">
      <c r="A19" s="86"/>
      <c r="B19" s="86"/>
      <c r="C19" s="86" t="s">
        <v>21</v>
      </c>
      <c r="D19" s="86" t="s">
        <v>22</v>
      </c>
      <c r="E19" s="86" t="s">
        <v>23</v>
      </c>
      <c r="F19" s="86" t="s">
        <v>24</v>
      </c>
      <c r="G19" s="86" t="s">
        <v>25</v>
      </c>
      <c r="H19" s="86" t="s">
        <v>67</v>
      </c>
      <c r="I19" s="86" t="s">
        <v>62</v>
      </c>
      <c r="J19" s="86" t="s">
        <v>65</v>
      </c>
      <c r="K19" s="3"/>
      <c r="L19" s="3"/>
      <c r="M19" s="27"/>
    </row>
    <row r="20" spans="1:13" s="250" customFormat="1" outlineLevel="1" x14ac:dyDescent="0.3">
      <c r="A20" s="307" t="str">
        <f>"Dif. FY " &amp; A3 &amp; " vs " &amp; A23</f>
        <v>Dif. FY w47 vs w43</v>
      </c>
      <c r="B20" s="308"/>
      <c r="C20" s="87">
        <f>C17-C37</f>
        <v>-10126.950542424805</v>
      </c>
      <c r="D20" s="87">
        <f t="shared" ref="D20:J20" si="3">D17-D37</f>
        <v>-281717.10678538308</v>
      </c>
      <c r="E20" s="122">
        <f t="shared" si="3"/>
        <v>-545264.30021317489</v>
      </c>
      <c r="F20" s="122">
        <f t="shared" si="3"/>
        <v>1268.8325927425176</v>
      </c>
      <c r="G20" s="122">
        <f t="shared" si="3"/>
        <v>-518980.68188332021</v>
      </c>
      <c r="H20" s="122">
        <f t="shared" si="3"/>
        <v>0</v>
      </c>
      <c r="I20" s="122">
        <f t="shared" si="3"/>
        <v>3885.8934549647383</v>
      </c>
      <c r="J20" s="87">
        <f t="shared" si="3"/>
        <v>-1350934.3133765757</v>
      </c>
      <c r="K20" s="176"/>
      <c r="L20" s="177"/>
      <c r="M20" s="27"/>
    </row>
    <row r="21" spans="1:13" s="250" customFormat="1" ht="15" customHeight="1" x14ac:dyDescent="0.3">
      <c r="A21" s="142" t="str">
        <f>"Var. FY " &amp; A3 &amp; " vs " &amp; A23</f>
        <v>Var. FY w47 vs w43</v>
      </c>
      <c r="B21" s="143"/>
      <c r="C21" s="121">
        <f>(C17-C37)/ABS(C37)</f>
        <v>-1.5695097643667194E-2</v>
      </c>
      <c r="D21" s="121">
        <f t="shared" ref="D21:J21" si="4">(D17-D37)/ABS(D37)</f>
        <v>-2.7171118767223373E-2</v>
      </c>
      <c r="E21" s="121">
        <f t="shared" si="4"/>
        <v>-4.9812915885329906E-2</v>
      </c>
      <c r="F21" s="121">
        <f t="shared" si="4"/>
        <v>4.0279899052833004E-4</v>
      </c>
      <c r="G21" s="121">
        <f t="shared" si="4"/>
        <v>-6.8437196391730501E-2</v>
      </c>
      <c r="H21" s="121">
        <f t="shared" si="4"/>
        <v>0</v>
      </c>
      <c r="I21" s="121">
        <f t="shared" si="4"/>
        <v>1.7478341294004018E-3</v>
      </c>
      <c r="J21" s="121">
        <f t="shared" si="4"/>
        <v>-5.1376807456056314E-3</v>
      </c>
      <c r="K21" s="3"/>
      <c r="L21" s="3"/>
      <c r="M21" s="27"/>
    </row>
    <row r="22" spans="1:13" s="250" customFormat="1" x14ac:dyDescent="0.3">
      <c r="C22" s="89"/>
      <c r="D22" s="89"/>
      <c r="E22" s="89"/>
      <c r="F22" s="89"/>
      <c r="G22" s="89"/>
      <c r="H22" s="89"/>
      <c r="I22" s="89"/>
      <c r="K22" s="3"/>
      <c r="L22" s="3"/>
      <c r="M22" s="27"/>
    </row>
    <row r="23" spans="1:13" s="250" customFormat="1" x14ac:dyDescent="0.3">
      <c r="A23" s="306" t="str">
        <f>'Andina DT'!A22:J22</f>
        <v>w43</v>
      </c>
      <c r="B23" s="306"/>
      <c r="C23" s="306"/>
      <c r="D23" s="306"/>
      <c r="E23" s="306"/>
      <c r="F23" s="306"/>
      <c r="G23" s="306"/>
      <c r="H23" s="306"/>
      <c r="I23" s="306"/>
      <c r="J23" s="306"/>
      <c r="K23" s="3"/>
      <c r="L23" s="140"/>
      <c r="M23" s="27"/>
    </row>
    <row r="24" spans="1:13" s="250" customFormat="1" ht="28.8" x14ac:dyDescent="0.3">
      <c r="A24" s="5" t="s">
        <v>34</v>
      </c>
      <c r="B24" s="5" t="s">
        <v>26</v>
      </c>
      <c r="C24" s="40" t="s">
        <v>21</v>
      </c>
      <c r="D24" s="40" t="s">
        <v>22</v>
      </c>
      <c r="E24" s="40" t="s">
        <v>23</v>
      </c>
      <c r="F24" s="40" t="s">
        <v>24</v>
      </c>
      <c r="G24" s="40" t="s">
        <v>25</v>
      </c>
      <c r="H24" s="40" t="s">
        <v>67</v>
      </c>
      <c r="I24" s="5" t="s">
        <v>62</v>
      </c>
      <c r="J24" s="5" t="s">
        <v>65</v>
      </c>
      <c r="K24" s="5" t="s">
        <v>53</v>
      </c>
      <c r="L24" s="96"/>
      <c r="M24" s="129"/>
    </row>
    <row r="25" spans="1:13" s="250" customFormat="1" x14ac:dyDescent="0.3">
      <c r="A25" s="6" t="s">
        <v>0</v>
      </c>
      <c r="B25" s="7">
        <v>20129428.437658001</v>
      </c>
      <c r="C25" s="7">
        <v>-40815.2613849154</v>
      </c>
      <c r="D25" s="7">
        <v>25135.6828169734</v>
      </c>
      <c r="E25" s="7">
        <v>620455.58067380905</v>
      </c>
      <c r="F25" s="7">
        <v>-402670.56845713401</v>
      </c>
      <c r="G25" s="7">
        <v>532883.82791048801</v>
      </c>
      <c r="H25" s="7">
        <v>1</v>
      </c>
      <c r="I25" s="7">
        <v>-408740.56652356498</v>
      </c>
      <c r="J25" s="7">
        <f t="shared" ref="J25:J36" si="5">SUM(B25:I25)</f>
        <v>20455678.132693656</v>
      </c>
      <c r="K25" s="123">
        <f t="shared" ref="K25:K37" si="6">J25/B25-1</f>
        <v>1.6207598543896529E-2</v>
      </c>
      <c r="L25" s="98"/>
      <c r="M25" s="120"/>
    </row>
    <row r="26" spans="1:13" s="250" customFormat="1" x14ac:dyDescent="0.3">
      <c r="A26" s="6" t="s">
        <v>1</v>
      </c>
      <c r="B26" s="7">
        <v>26311162.376224</v>
      </c>
      <c r="C26" s="7">
        <v>556762.90171318001</v>
      </c>
      <c r="D26" s="7">
        <v>-313350.115995612</v>
      </c>
      <c r="E26" s="7">
        <v>472120.95452040702</v>
      </c>
      <c r="F26" s="7">
        <v>-415180.71802121802</v>
      </c>
      <c r="G26" s="7">
        <v>-884121.28245341405</v>
      </c>
      <c r="H26" s="7">
        <v>1</v>
      </c>
      <c r="I26" s="7">
        <v>-159536.65871610076</v>
      </c>
      <c r="J26" s="7">
        <f t="shared" si="5"/>
        <v>25567858.457271244</v>
      </c>
      <c r="K26" s="124">
        <f t="shared" si="6"/>
        <v>-2.8250516200091558E-2</v>
      </c>
      <c r="L26" s="98"/>
      <c r="M26" s="130" t="str">
        <f>"Comentarios "&amp;A23</f>
        <v>Comentarios w43</v>
      </c>
    </row>
    <row r="27" spans="1:13" s="250" customFormat="1" x14ac:dyDescent="0.3">
      <c r="A27" s="6" t="s">
        <v>2</v>
      </c>
      <c r="B27" s="7">
        <v>32058052.493577</v>
      </c>
      <c r="C27" s="7">
        <v>23146.520736049901</v>
      </c>
      <c r="D27" s="7">
        <v>-369977.19100697001</v>
      </c>
      <c r="E27" s="7">
        <v>-2215547.0388515401</v>
      </c>
      <c r="F27" s="7">
        <v>-221962.621596991</v>
      </c>
      <c r="G27" s="7">
        <v>1169031.70613911</v>
      </c>
      <c r="H27" s="7">
        <v>1</v>
      </c>
      <c r="I27" s="7">
        <v>-104482.3684532504</v>
      </c>
      <c r="J27" s="7">
        <f t="shared" si="5"/>
        <v>30338262.500543408</v>
      </c>
      <c r="K27" s="124">
        <f t="shared" si="6"/>
        <v>-5.3646115695211383E-2</v>
      </c>
      <c r="L27" s="98"/>
      <c r="M27" s="120"/>
    </row>
    <row r="28" spans="1:13" s="250" customFormat="1" x14ac:dyDescent="0.3">
      <c r="A28" s="6" t="s">
        <v>3</v>
      </c>
      <c r="B28" s="7">
        <v>21456523.052358001</v>
      </c>
      <c r="C28" s="7">
        <v>11625.563254897999</v>
      </c>
      <c r="D28" s="7">
        <v>-828436.46578279498</v>
      </c>
      <c r="E28" s="7">
        <v>-1375685.0945227768</v>
      </c>
      <c r="F28" s="7">
        <v>-94280.454165463103</v>
      </c>
      <c r="G28" s="7">
        <v>828283.71461565001</v>
      </c>
      <c r="H28" s="7">
        <v>1</v>
      </c>
      <c r="I28" s="7">
        <v>-347851.6302887795</v>
      </c>
      <c r="J28" s="7">
        <f t="shared" si="5"/>
        <v>19650179.685468733</v>
      </c>
      <c r="K28" s="124">
        <f t="shared" si="6"/>
        <v>-8.4186210528213068E-2</v>
      </c>
      <c r="L28" s="98"/>
      <c r="M28" s="105"/>
    </row>
    <row r="29" spans="1:13" s="250" customFormat="1" x14ac:dyDescent="0.3">
      <c r="A29" s="6" t="s">
        <v>4</v>
      </c>
      <c r="B29" s="7">
        <v>21212145.551192999</v>
      </c>
      <c r="C29" s="7">
        <v>332271.44322944002</v>
      </c>
      <c r="D29" s="7">
        <v>-2260862.7074391199</v>
      </c>
      <c r="E29" s="7">
        <v>-2141965.3828148274</v>
      </c>
      <c r="F29" s="7">
        <v>-301082.50640860997</v>
      </c>
      <c r="G29" s="7">
        <v>660028.76849373896</v>
      </c>
      <c r="H29" s="7">
        <v>1</v>
      </c>
      <c r="I29" s="7">
        <v>-111046.6724493114</v>
      </c>
      <c r="J29" s="7">
        <f t="shared" si="5"/>
        <v>17389489.493804306</v>
      </c>
      <c r="K29" s="124">
        <f t="shared" si="6"/>
        <v>-0.18021072164355867</v>
      </c>
      <c r="L29" s="98"/>
      <c r="M29" s="105"/>
    </row>
    <row r="30" spans="1:13" s="250" customFormat="1" x14ac:dyDescent="0.3">
      <c r="A30" s="6" t="s">
        <v>5</v>
      </c>
      <c r="B30" s="7">
        <v>22870915.674423002</v>
      </c>
      <c r="C30" s="7">
        <v>-1073128.89367684</v>
      </c>
      <c r="D30" s="7">
        <v>-2441623.9081707201</v>
      </c>
      <c r="E30" s="7">
        <v>-2972399.3423917978</v>
      </c>
      <c r="F30" s="7">
        <v>-1193919.39405659</v>
      </c>
      <c r="G30" s="7">
        <v>719934.56949993304</v>
      </c>
      <c r="H30" s="7">
        <v>1</v>
      </c>
      <c r="I30" s="7">
        <v>-240869.10654695041</v>
      </c>
      <c r="J30" s="7">
        <f t="shared" si="5"/>
        <v>15668910.599080037</v>
      </c>
      <c r="K30" s="124">
        <f t="shared" si="6"/>
        <v>-0.31489797688323906</v>
      </c>
      <c r="L30" s="98"/>
      <c r="M30" s="105"/>
    </row>
    <row r="31" spans="1:13" s="250" customFormat="1" x14ac:dyDescent="0.3">
      <c r="A31" s="6" t="s">
        <v>6</v>
      </c>
      <c r="B31" s="7">
        <v>17838398.199767001</v>
      </c>
      <c r="C31" s="7">
        <v>937627.41889526404</v>
      </c>
      <c r="D31" s="7">
        <v>-1460431.6710308101</v>
      </c>
      <c r="E31" s="7">
        <v>-540969.31130088784</v>
      </c>
      <c r="F31" s="7">
        <v>-124927.978828705</v>
      </c>
      <c r="G31" s="7">
        <v>69844.105689426593</v>
      </c>
      <c r="H31" s="7">
        <v>1</v>
      </c>
      <c r="I31" s="7">
        <v>-293859.09988273284</v>
      </c>
      <c r="J31" s="7">
        <f t="shared" si="5"/>
        <v>16425682.663308555</v>
      </c>
      <c r="K31" s="124">
        <f t="shared" si="6"/>
        <v>-7.9195201308876362E-2</v>
      </c>
      <c r="L31" s="98"/>
      <c r="M31" s="105"/>
    </row>
    <row r="32" spans="1:13" s="250" customFormat="1" x14ac:dyDescent="0.3">
      <c r="A32" s="6" t="s">
        <v>7</v>
      </c>
      <c r="B32" s="7">
        <v>18079380.530768</v>
      </c>
      <c r="C32" s="7">
        <v>160856.71415325999</v>
      </c>
      <c r="D32" s="7">
        <v>-489797.06589244498</v>
      </c>
      <c r="E32" s="7">
        <v>-272977.09369714512</v>
      </c>
      <c r="F32" s="7">
        <v>-152817.05027761101</v>
      </c>
      <c r="G32" s="7">
        <v>302731.46432421001</v>
      </c>
      <c r="H32" s="7">
        <v>1</v>
      </c>
      <c r="I32" s="7">
        <v>-96548.632734485611</v>
      </c>
      <c r="J32" s="7">
        <f t="shared" si="5"/>
        <v>17530829.866643783</v>
      </c>
      <c r="K32" s="124">
        <f t="shared" si="6"/>
        <v>-3.0341231171647554E-2</v>
      </c>
      <c r="L32" s="98"/>
      <c r="M32" s="105"/>
    </row>
    <row r="33" spans="1:13" s="250" customFormat="1" x14ac:dyDescent="0.3">
      <c r="A33" s="6" t="s">
        <v>8</v>
      </c>
      <c r="B33" s="7">
        <v>23764393.965071999</v>
      </c>
      <c r="C33" s="7">
        <v>284973.99836874602</v>
      </c>
      <c r="D33" s="7">
        <v>-659864.525699044</v>
      </c>
      <c r="E33" s="7">
        <v>-415575.31347729941</v>
      </c>
      <c r="F33" s="7">
        <v>-66860.706439638205</v>
      </c>
      <c r="G33" s="7">
        <v>756644.24783528701</v>
      </c>
      <c r="H33" s="7">
        <v>1</v>
      </c>
      <c r="I33" s="7">
        <v>-87373.725520804117</v>
      </c>
      <c r="J33" s="7">
        <f t="shared" si="5"/>
        <v>23576338.940139245</v>
      </c>
      <c r="K33" s="124">
        <f t="shared" si="6"/>
        <v>-7.91331035873033E-3</v>
      </c>
      <c r="L33" s="98"/>
      <c r="M33" s="105"/>
    </row>
    <row r="34" spans="1:13" s="250" customFormat="1" x14ac:dyDescent="0.3">
      <c r="A34" s="6" t="s">
        <v>9</v>
      </c>
      <c r="B34" s="7">
        <v>19132759.358853001</v>
      </c>
      <c r="C34" s="7">
        <v>0</v>
      </c>
      <c r="D34" s="7">
        <v>-493429.04768764798</v>
      </c>
      <c r="E34" s="7">
        <v>-774856.94377277407</v>
      </c>
      <c r="F34" s="7">
        <v>-34876.6986881087</v>
      </c>
      <c r="G34" s="7">
        <v>1944803.8184229201</v>
      </c>
      <c r="H34" s="7">
        <v>1</v>
      </c>
      <c r="I34" s="7">
        <v>-2296.4538257138502</v>
      </c>
      <c r="J34" s="7">
        <f t="shared" si="5"/>
        <v>19772105.033301678</v>
      </c>
      <c r="K34" s="124">
        <f t="shared" si="6"/>
        <v>3.3416281596247766E-2</v>
      </c>
      <c r="L34" s="98"/>
      <c r="M34" s="105"/>
    </row>
    <row r="35" spans="1:13" s="250" customFormat="1" x14ac:dyDescent="0.3">
      <c r="A35" s="6" t="s">
        <v>10</v>
      </c>
      <c r="B35" s="7">
        <v>21043841.759656001</v>
      </c>
      <c r="C35" s="7">
        <v>507174.65999842202</v>
      </c>
      <c r="D35" s="7">
        <v>-405013.83077508799</v>
      </c>
      <c r="E35" s="7">
        <v>-351045.12604396476</v>
      </c>
      <c r="F35" s="7">
        <v>-197477.62813037101</v>
      </c>
      <c r="G35" s="7">
        <v>1018543.31076353</v>
      </c>
      <c r="H35" s="7">
        <v>1</v>
      </c>
      <c r="I35" s="7">
        <v>-73924.330706078312</v>
      </c>
      <c r="J35" s="7">
        <f t="shared" si="5"/>
        <v>21542099.814762447</v>
      </c>
      <c r="K35" s="124">
        <f t="shared" si="6"/>
        <v>2.3677143213539864E-2</v>
      </c>
      <c r="L35" s="98"/>
      <c r="M35" s="105"/>
    </row>
    <row r="36" spans="1:13" s="250" customFormat="1" x14ac:dyDescent="0.3">
      <c r="A36" s="6" t="s">
        <v>11</v>
      </c>
      <c r="B36" s="7">
        <v>37508577.012097999</v>
      </c>
      <c r="C36" s="7">
        <v>-1055264.8939090599</v>
      </c>
      <c r="D36" s="7">
        <v>-670604.84419990098</v>
      </c>
      <c r="E36" s="7">
        <v>-977799.25757871999</v>
      </c>
      <c r="F36" s="7">
        <v>56017.167628020899</v>
      </c>
      <c r="G36" s="7">
        <v>464704.76048311399</v>
      </c>
      <c r="H36" s="7">
        <v>1</v>
      </c>
      <c r="I36" s="7">
        <v>-296732.89896877803</v>
      </c>
      <c r="J36" s="7">
        <f t="shared" si="5"/>
        <v>35028898.045552671</v>
      </c>
      <c r="K36" s="124">
        <f t="shared" si="6"/>
        <v>-6.6109651820316584E-2</v>
      </c>
      <c r="L36" s="98"/>
      <c r="M36" s="105"/>
    </row>
    <row r="37" spans="1:13" s="250" customFormat="1" x14ac:dyDescent="0.3">
      <c r="A37" s="8" t="s">
        <v>27</v>
      </c>
      <c r="B37" s="9">
        <f>SUM(B25:B36)</f>
        <v>281405578.41164702</v>
      </c>
      <c r="C37" s="9">
        <f t="shared" ref="C37:J37" si="7">SUM(C25:C36)</f>
        <v>645230.17137844465</v>
      </c>
      <c r="D37" s="9">
        <f t="shared" si="7"/>
        <v>-10368255.690863179</v>
      </c>
      <c r="E37" s="9">
        <f t="shared" si="7"/>
        <v>-10946243.369257517</v>
      </c>
      <c r="F37" s="9">
        <f t="shared" si="7"/>
        <v>-3150039.1574424189</v>
      </c>
      <c r="G37" s="9">
        <f t="shared" si="7"/>
        <v>7583313.0117239933</v>
      </c>
      <c r="H37" s="9">
        <f t="shared" ref="H37" si="8">SUM(H25:H36)</f>
        <v>12</v>
      </c>
      <c r="I37" s="9">
        <f>SUM(I25:I36)</f>
        <v>-2223262.1446165503</v>
      </c>
      <c r="J37" s="9">
        <f t="shared" si="7"/>
        <v>262946333.23256975</v>
      </c>
      <c r="K37" s="145">
        <f t="shared" si="6"/>
        <v>-6.5596585836243171E-2</v>
      </c>
      <c r="L37" s="174"/>
      <c r="M37" s="105"/>
    </row>
  </sheetData>
  <mergeCells count="6">
    <mergeCell ref="A23:J23"/>
    <mergeCell ref="B1:J2"/>
    <mergeCell ref="A3:J3"/>
    <mergeCell ref="M8:M9"/>
    <mergeCell ref="M11:M12"/>
    <mergeCell ref="A20:B20"/>
  </mergeCells>
  <hyperlinks>
    <hyperlink ref="C24" location="'Paraguay Support'!B25" display="Calendar" xr:uid="{00000000-0004-0000-1200-000000000000}"/>
    <hyperlink ref="D24" location="'Paraguay Support'!J25" display="Economy" xr:uid="{00000000-0004-0000-1200-000001000000}"/>
    <hyperlink ref="E24" location="'Paraguay Support'!R25" display="Affordability" xr:uid="{00000000-0004-0000-1200-000002000000}"/>
    <hyperlink ref="F24" location="'Paraguay Support'!AD25" display="Competitiveness" xr:uid="{00000000-0004-0000-1200-000003000000}"/>
    <hyperlink ref="G24" location="'Paraguay Support'!AH25" display="Weather" xr:uid="{00000000-0004-0000-1200-000004000000}"/>
    <hyperlink ref="C4" location="'Paraguay Support'!B8" display="Calendar" xr:uid="{00000000-0004-0000-1200-000005000000}"/>
    <hyperlink ref="D4" location="'Paraguay Support'!J8" display="Economy" xr:uid="{00000000-0004-0000-1200-000006000000}"/>
    <hyperlink ref="E4" location="'Paraguay Support'!R8" display="Affordability" xr:uid="{00000000-0004-0000-1200-000007000000}"/>
    <hyperlink ref="F4" location="'Paraguay Support'!AD8" display="Competitiveness" xr:uid="{00000000-0004-0000-1200-000008000000}"/>
    <hyperlink ref="G4" location="'Paraguay Support'!AH8" display="Weather" xr:uid="{00000000-0004-0000-1200-000009000000}"/>
    <hyperlink ref="H4" location="'Paraguay Support'!AL8" display="Ecology" xr:uid="{00000000-0004-0000-1200-00000A000000}"/>
    <hyperlink ref="H24" location="'Paraguay Support'!AL25" display="Ecology" xr:uid="{00000000-0004-0000-1200-00000B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36"/>
  <sheetViews>
    <sheetView showGridLines="0" zoomScale="70" zoomScaleNormal="70" workbookViewId="0">
      <selection activeCell="M4" sqref="M4"/>
    </sheetView>
  </sheetViews>
  <sheetFormatPr baseColWidth="10" defaultColWidth="11.44140625" defaultRowHeight="14.4" outlineLevelRow="1" x14ac:dyDescent="0.3"/>
  <cols>
    <col min="1" max="1" width="12.109375" bestFit="1" customWidth="1"/>
    <col min="2" max="2" width="15.6640625" bestFit="1" customWidth="1"/>
    <col min="3" max="4" width="13" bestFit="1" customWidth="1"/>
    <col min="5" max="5" width="15.44140625" bestFit="1" customWidth="1"/>
    <col min="6" max="6" width="20.5546875" bestFit="1" customWidth="1"/>
    <col min="7" max="7" width="12.5546875" bestFit="1" customWidth="1"/>
    <col min="8" max="9" width="12.5546875" style="250" customWidth="1"/>
    <col min="10" max="10" width="16.6640625" style="250" customWidth="1"/>
    <col min="11" max="11" width="13" bestFit="1" customWidth="1"/>
    <col min="12" max="12" width="16" bestFit="1" customWidth="1"/>
    <col min="13" max="13" width="15.33203125" bestFit="1" customWidth="1"/>
    <col min="14" max="14" width="11.44140625" style="131"/>
    <col min="15" max="15" width="12.88671875" bestFit="1" customWidth="1"/>
  </cols>
  <sheetData>
    <row r="1" spans="1:14" ht="25.8" x14ac:dyDescent="0.5">
      <c r="B1" s="305" t="s">
        <v>52</v>
      </c>
      <c r="C1" s="305"/>
      <c r="D1" s="305"/>
      <c r="E1" s="305"/>
      <c r="F1" s="305"/>
      <c r="G1" s="305"/>
      <c r="H1" s="305"/>
      <c r="I1" s="305"/>
      <c r="J1" s="305"/>
      <c r="K1" s="305"/>
      <c r="L1" s="305"/>
    </row>
    <row r="2" spans="1:14" x14ac:dyDescent="0.3">
      <c r="A2" s="306" t="str">
        <f>'Andina DT'!A2:J2</f>
        <v>w47</v>
      </c>
      <c r="B2" s="306"/>
      <c r="C2" s="306"/>
      <c r="D2" s="306"/>
      <c r="E2" s="306"/>
      <c r="F2" s="306"/>
      <c r="G2" s="306"/>
      <c r="H2" s="306"/>
      <c r="I2" s="306"/>
      <c r="J2" s="306"/>
      <c r="K2" s="306"/>
      <c r="L2" s="306"/>
    </row>
    <row r="3" spans="1:14" ht="28.8" x14ac:dyDescent="0.3">
      <c r="A3" s="5" t="s">
        <v>34</v>
      </c>
      <c r="B3" s="5" t="s">
        <v>26</v>
      </c>
      <c r="C3" s="5" t="s">
        <v>21</v>
      </c>
      <c r="D3" s="5" t="s">
        <v>22</v>
      </c>
      <c r="E3" s="5" t="s">
        <v>23</v>
      </c>
      <c r="F3" s="5" t="s">
        <v>24</v>
      </c>
      <c r="G3" s="5" t="s">
        <v>25</v>
      </c>
      <c r="H3" s="5" t="s">
        <v>60</v>
      </c>
      <c r="I3" s="5" t="s">
        <v>61</v>
      </c>
      <c r="J3" s="5" t="s">
        <v>63</v>
      </c>
      <c r="K3" s="5" t="s">
        <v>62</v>
      </c>
      <c r="L3" s="5" t="s">
        <v>65</v>
      </c>
      <c r="M3" s="130" t="s">
        <v>66</v>
      </c>
      <c r="N3" s="129"/>
    </row>
    <row r="4" spans="1:14" x14ac:dyDescent="0.3">
      <c r="A4" s="6" t="s">
        <v>0</v>
      </c>
      <c r="B4" s="7">
        <f>'Andina DT'!B4+'Arca DT'!B4+'Femsa DT'!B4+'RLee DT'!B4</f>
        <v>37689568.447300002</v>
      </c>
      <c r="C4" s="7">
        <f>'Andina DT'!C4+'Arca DT'!C4+'Femsa DT'!C4+'RLee DT'!C4</f>
        <v>-1601073.5240729118</v>
      </c>
      <c r="D4" s="7">
        <f>'Andina DT'!D4+'Arca DT'!D4+'Femsa DT'!D4+'RLee DT'!D4</f>
        <v>1506789.4761133387</v>
      </c>
      <c r="E4" s="7">
        <f>'Andina DT'!E4+'Arca DT'!E4+'Femsa DT'!E4+'RLee DT'!E4</f>
        <v>-805650.69908681</v>
      </c>
      <c r="F4" s="7">
        <f>'Andina DT'!F4+'Arca DT'!F4+'Femsa DT'!F4+'RLee DT'!F4</f>
        <v>-2636524.008112825</v>
      </c>
      <c r="G4" s="7">
        <f>'Andina DT'!G4+'Arca DT'!G4+'Femsa DT'!G4+'RLee DT'!G4</f>
        <v>784592.64425150072</v>
      </c>
      <c r="H4" s="7">
        <f>'Andina DT'!H4+'Arca DT'!H4+'RLee DT'!I4</f>
        <v>3</v>
      </c>
      <c r="I4" s="7" t="e">
        <f>'Andina DT'!#REF!</f>
        <v>#REF!</v>
      </c>
      <c r="J4" s="7" t="e">
        <f>'Femsa DT'!#REF!</f>
        <v>#REF!</v>
      </c>
      <c r="K4" s="7">
        <f>'Andina DT'!I4+'Arca DT'!I4+'Femsa DT'!H4+'RLee DT'!J4</f>
        <v>1286626.8490383271</v>
      </c>
      <c r="L4" s="7">
        <f>'Andina DT'!J4+'Arca DT'!J4+'Femsa DT'!I4+'RLee DT'!K4</f>
        <v>36224333.185430616</v>
      </c>
      <c r="M4" s="123">
        <f>L4/B4-1</f>
        <v>-3.8876413878767835E-2</v>
      </c>
      <c r="N4" s="128"/>
    </row>
    <row r="5" spans="1:14" x14ac:dyDescent="0.3">
      <c r="A5" s="6" t="s">
        <v>1</v>
      </c>
      <c r="B5" s="7">
        <f>'Andina DT'!B5+'Arca DT'!B5+'Femsa DT'!B5+'RLee DT'!B5</f>
        <v>43268486.237000003</v>
      </c>
      <c r="C5" s="7">
        <f>'Andina DT'!C5+'Arca DT'!C5+'Femsa DT'!C5+'RLee DT'!C5</f>
        <v>-254948.238650065</v>
      </c>
      <c r="D5" s="7">
        <f>'Andina DT'!D5+'Arca DT'!D5+'Femsa DT'!D5+'RLee DT'!D5</f>
        <v>1028935.5732544762</v>
      </c>
      <c r="E5" s="7">
        <f>'Andina DT'!E5+'Arca DT'!E5+'Femsa DT'!E5+'RLee DT'!E5</f>
        <v>-246021.21574264433</v>
      </c>
      <c r="F5" s="7">
        <f>'Andina DT'!F5+'Arca DT'!F5+'Femsa DT'!F5+'RLee DT'!F5</f>
        <v>-2972912.301145114</v>
      </c>
      <c r="G5" s="7">
        <f>'Andina DT'!G5+'Arca DT'!G5+'Femsa DT'!G5+'RLee DT'!G5</f>
        <v>-180791.70359394251</v>
      </c>
      <c r="H5" s="7">
        <f>'Andina DT'!H5+'Arca DT'!H5+'RLee DT'!I5</f>
        <v>3</v>
      </c>
      <c r="I5" s="7" t="e">
        <f>'Andina DT'!#REF!</f>
        <v>#REF!</v>
      </c>
      <c r="J5" s="7" t="e">
        <f>'Femsa DT'!#REF!</f>
        <v>#REF!</v>
      </c>
      <c r="K5" s="7">
        <f>'Andina DT'!I5+'Arca DT'!I5+'Femsa DT'!H5+'RLee DT'!J5</f>
        <v>2501792.7080958211</v>
      </c>
      <c r="L5" s="7">
        <f>'Andina DT'!J5+'Arca DT'!J5+'Femsa DT'!I5+'RLee DT'!K5</f>
        <v>43144545.059218533</v>
      </c>
      <c r="M5" s="124">
        <f t="shared" ref="M5:M16" si="0">L5/B5-1</f>
        <v>-2.8644676197496777E-3</v>
      </c>
      <c r="N5" s="128"/>
    </row>
    <row r="6" spans="1:14" x14ac:dyDescent="0.3">
      <c r="A6" s="6" t="s">
        <v>2</v>
      </c>
      <c r="B6" s="7">
        <f>'Andina DT'!B6+'Arca DT'!B6+'Femsa DT'!B6+'RLee DT'!B6</f>
        <v>48384732.252999991</v>
      </c>
      <c r="C6" s="7">
        <f>'Andina DT'!C6+'Arca DT'!C6+'Femsa DT'!C6+'RLee DT'!C6</f>
        <v>-2259952.1088547907</v>
      </c>
      <c r="D6" s="7">
        <f>'Andina DT'!D6+'Arca DT'!D6+'Femsa DT'!D6+'RLee DT'!D6</f>
        <v>1162962.5666329742</v>
      </c>
      <c r="E6" s="7">
        <f>'Andina DT'!E6+'Arca DT'!E6+'Femsa DT'!E6+'RLee DT'!E6</f>
        <v>237240.7613909521</v>
      </c>
      <c r="F6" s="7">
        <f>'Andina DT'!F6+'Arca DT'!F6+'Femsa DT'!F6+'RLee DT'!F6</f>
        <v>-2670857.6010160707</v>
      </c>
      <c r="G6" s="7">
        <f>'Andina DT'!G6+'Arca DT'!G6+'Femsa DT'!G6+'RLee DT'!G6</f>
        <v>3173614.9262299757</v>
      </c>
      <c r="H6" s="7">
        <f>'Andina DT'!H6+'Arca DT'!H6+'RLee DT'!I6</f>
        <v>3</v>
      </c>
      <c r="I6" s="7" t="e">
        <f>'Andina DT'!#REF!</f>
        <v>#REF!</v>
      </c>
      <c r="J6" s="7" t="e">
        <f>'Femsa DT'!#REF!</f>
        <v>#REF!</v>
      </c>
      <c r="K6" s="7">
        <f>'Andina DT'!I6+'Arca DT'!I6+'Femsa DT'!H6+'RLee DT'!J6</f>
        <v>835344.21988819365</v>
      </c>
      <c r="L6" s="7">
        <f>'Andina DT'!J6+'Arca DT'!J6+'Femsa DT'!I6+'RLee DT'!K6</f>
        <v>48863089.017271236</v>
      </c>
      <c r="M6" s="124">
        <f t="shared" si="0"/>
        <v>9.8865229173936697E-3</v>
      </c>
      <c r="N6" s="128"/>
    </row>
    <row r="7" spans="1:14" x14ac:dyDescent="0.3">
      <c r="A7" s="6" t="s">
        <v>3</v>
      </c>
      <c r="B7" s="7">
        <f>'Andina DT'!B7+'Arca DT'!B7+'Femsa DT'!B7+'RLee DT'!B7</f>
        <v>35252726.253799997</v>
      </c>
      <c r="C7" s="7">
        <f>'Andina DT'!C7+'Arca DT'!C7+'Femsa DT'!C7+'RLee DT'!C7</f>
        <v>1076351.5573035199</v>
      </c>
      <c r="D7" s="7">
        <f>'Andina DT'!D7+'Arca DT'!D7+'Femsa DT'!D7+'RLee DT'!D7</f>
        <v>502093.94256646902</v>
      </c>
      <c r="E7" s="7">
        <f>'Andina DT'!E7+'Arca DT'!E7+'Femsa DT'!E7+'RLee DT'!E7</f>
        <v>62132.06026235444</v>
      </c>
      <c r="F7" s="7">
        <f>'Andina DT'!F7+'Arca DT'!F7+'Femsa DT'!F7+'RLee DT'!F7</f>
        <v>-1832987.7980156899</v>
      </c>
      <c r="G7" s="7">
        <f>'Andina DT'!G7+'Arca DT'!G7+'Femsa DT'!G7+'RLee DT'!G7</f>
        <v>-616060.09026655788</v>
      </c>
      <c r="H7" s="7">
        <f>'Andina DT'!H7+'Arca DT'!H7+'RLee DT'!I7</f>
        <v>3</v>
      </c>
      <c r="I7" s="7" t="e">
        <f>'Andina DT'!#REF!</f>
        <v>#REF!</v>
      </c>
      <c r="J7" s="7" t="e">
        <f>'Femsa DT'!#REF!</f>
        <v>#REF!</v>
      </c>
      <c r="K7" s="7">
        <f>'Andina DT'!I7+'Arca DT'!I7+'Femsa DT'!H7+'RLee DT'!J7</f>
        <v>-467487.61231765914</v>
      </c>
      <c r="L7" s="7">
        <f>'Andina DT'!J7+'Arca DT'!J7+'Femsa DT'!I7+'RLee DT'!K7</f>
        <v>33976772.313332446</v>
      </c>
      <c r="M7" s="124">
        <f t="shared" si="0"/>
        <v>-3.6194475606833754E-2</v>
      </c>
      <c r="N7" s="128"/>
    </row>
    <row r="8" spans="1:14" x14ac:dyDescent="0.3">
      <c r="A8" s="6" t="s">
        <v>4</v>
      </c>
      <c r="B8" s="7">
        <f>'Andina DT'!B8+'Arca DT'!B8+'Femsa DT'!B8+'RLee DT'!B8</f>
        <v>32868774.766899996</v>
      </c>
      <c r="C8" s="7">
        <f>'Andina DT'!C8+'Arca DT'!C8+'Femsa DT'!C8+'RLee DT'!C8</f>
        <v>1078734.891442596</v>
      </c>
      <c r="D8" s="7">
        <f>'Andina DT'!D8+'Arca DT'!D8+'Femsa DT'!D8+'RLee DT'!D8</f>
        <v>-349005.9886126417</v>
      </c>
      <c r="E8" s="7">
        <f>'Andina DT'!E8+'Arca DT'!E8+'Femsa DT'!E8+'RLee DT'!E8</f>
        <v>-136170.13845013955</v>
      </c>
      <c r="F8" s="7">
        <f>'Andina DT'!F8+'Arca DT'!F8+'Femsa DT'!F8+'RLee DT'!F8</f>
        <v>-2223795.8571318937</v>
      </c>
      <c r="G8" s="7">
        <f>'Andina DT'!G8+'Arca DT'!G8+'Femsa DT'!G8+'RLee DT'!G8</f>
        <v>595833.33857882163</v>
      </c>
      <c r="H8" s="7">
        <f>'Andina DT'!H8+'Arca DT'!H8+'RLee DT'!I8</f>
        <v>3</v>
      </c>
      <c r="I8" s="7" t="e">
        <f>'Andina DT'!#REF!</f>
        <v>#REF!</v>
      </c>
      <c r="J8" s="7" t="e">
        <f>'Femsa DT'!#REF!</f>
        <v>#REF!</v>
      </c>
      <c r="K8" s="7">
        <f>'Andina DT'!I8+'Arca DT'!I8+'Femsa DT'!H8+'RLee DT'!J8</f>
        <v>126279.78222576538</v>
      </c>
      <c r="L8" s="7">
        <f>'Andina DT'!J8+'Arca DT'!J8+'Femsa DT'!I8+'RLee DT'!K8</f>
        <v>31960654.794952512</v>
      </c>
      <c r="M8" s="124">
        <f t="shared" si="0"/>
        <v>-2.7628652981065538E-2</v>
      </c>
      <c r="N8" s="128"/>
    </row>
    <row r="9" spans="1:14" x14ac:dyDescent="0.3">
      <c r="A9" s="6" t="s">
        <v>5</v>
      </c>
      <c r="B9" s="7">
        <f>'Andina DT'!B9+'Arca DT'!B9+'Femsa DT'!B9+'RLee DT'!B9</f>
        <v>39130976.063900001</v>
      </c>
      <c r="C9" s="7">
        <f>'Andina DT'!C9+'Arca DT'!C9+'Femsa DT'!C9+'RLee DT'!C9</f>
        <v>249498.5775753349</v>
      </c>
      <c r="D9" s="7">
        <f>'Andina DT'!D9+'Arca DT'!D9+'Femsa DT'!D9+'RLee DT'!D9</f>
        <v>-1028769.7884327261</v>
      </c>
      <c r="E9" s="7">
        <f>'Andina DT'!E9+'Arca DT'!E9+'Femsa DT'!E9+'RLee DT'!E9</f>
        <v>-345722.29777838208</v>
      </c>
      <c r="F9" s="7">
        <f>'Andina DT'!F9+'Arca DT'!F9+'Femsa DT'!F9+'RLee DT'!F9</f>
        <v>-2600614.7429655171</v>
      </c>
      <c r="G9" s="7">
        <f>'Andina DT'!G9+'Arca DT'!G9+'Femsa DT'!G9+'RLee DT'!G9</f>
        <v>900925.12131701282</v>
      </c>
      <c r="H9" s="7">
        <f>'Andina DT'!H9+'Arca DT'!H9+'RLee DT'!I9</f>
        <v>3</v>
      </c>
      <c r="I9" s="7" t="e">
        <f>'Andina DT'!#REF!</f>
        <v>#REF!</v>
      </c>
      <c r="J9" s="7" t="e">
        <f>'Femsa DT'!#REF!</f>
        <v>#REF!</v>
      </c>
      <c r="K9" s="7">
        <f>'Andina DT'!I9+'Arca DT'!I9+'Femsa DT'!H9+'RLee DT'!J9</f>
        <v>16217.403692720982</v>
      </c>
      <c r="L9" s="7">
        <f>'Andina DT'!J9+'Arca DT'!J9+'Femsa DT'!I9+'RLee DT'!K9</f>
        <v>36322514.337308444</v>
      </c>
      <c r="M9" s="124">
        <f t="shared" si="0"/>
        <v>-7.1770806892355599E-2</v>
      </c>
      <c r="N9" s="128"/>
    </row>
    <row r="10" spans="1:14" x14ac:dyDescent="0.3">
      <c r="A10" s="6" t="s">
        <v>6</v>
      </c>
      <c r="B10" s="7">
        <f>'Andina DT'!B10+'Arca DT'!B10+'Femsa DT'!B10+'RLee DT'!B10</f>
        <v>34108564.703000002</v>
      </c>
      <c r="C10" s="7">
        <f>'Andina DT'!C10+'Arca DT'!C10+'Femsa DT'!C10+'RLee DT'!C10</f>
        <v>227604.95447799593</v>
      </c>
      <c r="D10" s="7">
        <f>'Andina DT'!D10+'Arca DT'!D10+'Femsa DT'!D10+'RLee DT'!D10</f>
        <v>-1512182.4162830738</v>
      </c>
      <c r="E10" s="7">
        <f>'Andina DT'!E10+'Arca DT'!E10+'Femsa DT'!E10+'RLee DT'!E10</f>
        <v>-522661.64027433301</v>
      </c>
      <c r="F10" s="7">
        <f>'Andina DT'!F10+'Arca DT'!F10+'Femsa DT'!F10+'RLee DT'!F10</f>
        <v>-1846598.697612267</v>
      </c>
      <c r="G10" s="7">
        <f>'Andina DT'!G10+'Arca DT'!G10+'Femsa DT'!G10+'RLee DT'!G10</f>
        <v>-1231753.2515944634</v>
      </c>
      <c r="H10" s="7">
        <f>'Andina DT'!H10+'Arca DT'!H10+'RLee DT'!I10</f>
        <v>3</v>
      </c>
      <c r="I10" s="7" t="e">
        <f>'Andina DT'!#REF!</f>
        <v>#REF!</v>
      </c>
      <c r="J10" s="7" t="e">
        <f>'Femsa DT'!#REF!</f>
        <v>#REF!</v>
      </c>
      <c r="K10" s="7">
        <f>'Andina DT'!I10+'Arca DT'!I10+'Femsa DT'!H10+'RLee DT'!J10</f>
        <v>-2592503.0298987138</v>
      </c>
      <c r="L10" s="7">
        <f>'Andina DT'!J10+'Arca DT'!J10+'Femsa DT'!I10+'RLee DT'!K10</f>
        <v>26630474.621815145</v>
      </c>
      <c r="M10" s="124">
        <f t="shared" si="0"/>
        <v>-0.21924376315157945</v>
      </c>
      <c r="N10" s="128"/>
    </row>
    <row r="11" spans="1:14" x14ac:dyDescent="0.3">
      <c r="A11" s="6" t="s">
        <v>7</v>
      </c>
      <c r="B11" s="7">
        <f>'Andina DT'!B11+'Arca DT'!B11+'Femsa DT'!B11+'RLee DT'!B11</f>
        <v>33657961.558899999</v>
      </c>
      <c r="C11" s="7">
        <f>'Andina DT'!C11+'Arca DT'!C11+'Femsa DT'!C11+'RLee DT'!C11</f>
        <v>0</v>
      </c>
      <c r="D11" s="7">
        <f>'Andina DT'!D11+'Arca DT'!D11+'Femsa DT'!D11+'RLee DT'!D11</f>
        <v>-462806.9352545506</v>
      </c>
      <c r="E11" s="7">
        <f>'Andina DT'!E11+'Arca DT'!E11+'Femsa DT'!E11+'RLee DT'!E11</f>
        <v>-19510.83743144921</v>
      </c>
      <c r="F11" s="7">
        <f>'Andina DT'!F11+'Arca DT'!F11+'Femsa DT'!F11+'RLee DT'!F11</f>
        <v>-1737127.0254561801</v>
      </c>
      <c r="G11" s="7">
        <f>'Andina DT'!G11+'Arca DT'!G11+'Femsa DT'!G11+'RLee DT'!G11</f>
        <v>1335972.3978174881</v>
      </c>
      <c r="H11" s="7">
        <f>'Andina DT'!H11+'Arca DT'!H11+'RLee DT'!I11</f>
        <v>3</v>
      </c>
      <c r="I11" s="7" t="e">
        <f>'Andina DT'!#REF!</f>
        <v>#REF!</v>
      </c>
      <c r="J11" s="7" t="e">
        <f>'Femsa DT'!#REF!</f>
        <v>#REF!</v>
      </c>
      <c r="K11" s="7">
        <f>'Andina DT'!I11+'Arca DT'!I11+'Femsa DT'!H11+'RLee DT'!J11</f>
        <v>-573267.32461489097</v>
      </c>
      <c r="L11" s="7">
        <f>'Andina DT'!J11+'Arca DT'!J11+'Femsa DT'!I11+'RLee DT'!K11</f>
        <v>32201225.833960421</v>
      </c>
      <c r="M11" s="124">
        <f t="shared" si="0"/>
        <v>-4.3280568919491835E-2</v>
      </c>
      <c r="N11" s="128"/>
    </row>
    <row r="12" spans="1:14" x14ac:dyDescent="0.3">
      <c r="A12" s="6" t="s">
        <v>8</v>
      </c>
      <c r="B12" s="7">
        <f>'Andina DT'!B12+'Arca DT'!B12+'Femsa DT'!B12+'RLee DT'!B12</f>
        <v>43345081.643000007</v>
      </c>
      <c r="C12" s="7">
        <f>'Andina DT'!C12+'Arca DT'!C12+'Femsa DT'!C12+'RLee DT'!C12</f>
        <v>1090748.5061762151</v>
      </c>
      <c r="D12" s="7">
        <f>'Andina DT'!D12+'Arca DT'!D12+'Femsa DT'!D12+'RLee DT'!D12</f>
        <v>-835901.31693673297</v>
      </c>
      <c r="E12" s="7">
        <f>'Andina DT'!E12+'Arca DT'!E12+'Femsa DT'!E12+'RLee DT'!E12</f>
        <v>896676.37224131695</v>
      </c>
      <c r="F12" s="7">
        <f>'Andina DT'!F12+'Arca DT'!F12+'Femsa DT'!F12+'RLee DT'!F12</f>
        <v>-1946722.6700585538</v>
      </c>
      <c r="G12" s="7">
        <f>'Andina DT'!G12+'Arca DT'!G12+'Femsa DT'!G12+'RLee DT'!G12</f>
        <v>491511.86549840617</v>
      </c>
      <c r="H12" s="7">
        <f>'Andina DT'!H12+'Arca DT'!H12+'RLee DT'!I12</f>
        <v>3</v>
      </c>
      <c r="I12" s="7" t="e">
        <f>'Andina DT'!#REF!</f>
        <v>#REF!</v>
      </c>
      <c r="J12" s="7" t="e">
        <f>'Femsa DT'!#REF!</f>
        <v>#REF!</v>
      </c>
      <c r="K12" s="7">
        <f>'Andina DT'!I12+'Arca DT'!I12+'Femsa DT'!H12+'RLee DT'!J12</f>
        <v>73947.833560367377</v>
      </c>
      <c r="L12" s="7">
        <f>'Andina DT'!J12+'Arca DT'!J12+'Femsa DT'!I12+'RLee DT'!K12</f>
        <v>43115346.23348102</v>
      </c>
      <c r="M12" s="124">
        <f t="shared" si="0"/>
        <v>-5.3001494243600789E-3</v>
      </c>
      <c r="N12" s="128"/>
    </row>
    <row r="13" spans="1:14" x14ac:dyDescent="0.3">
      <c r="A13" s="6" t="s">
        <v>9</v>
      </c>
      <c r="B13" s="7">
        <f>'Andina DT'!B13+'Arca DT'!B13+'Femsa DT'!B13+'RLee DT'!B13</f>
        <v>37068287.017000005</v>
      </c>
      <c r="C13" s="7">
        <f>'Andina DT'!C13+'Arca DT'!C13+'Femsa DT'!C13+'RLee DT'!C13</f>
        <v>0</v>
      </c>
      <c r="D13" s="7">
        <f>'Andina DT'!D13+'Arca DT'!D13+'Femsa DT'!D13+'RLee DT'!D13</f>
        <v>-1187654.969595399</v>
      </c>
      <c r="E13" s="7">
        <f>'Andina DT'!E13+'Arca DT'!E13+'Femsa DT'!E13+'RLee DT'!E13</f>
        <v>1554662.0714009197</v>
      </c>
      <c r="F13" s="7">
        <f>'Andina DT'!F13+'Arca DT'!F13+'Femsa DT'!F13+'RLee DT'!F13</f>
        <v>-2378389.4610832529</v>
      </c>
      <c r="G13" s="7">
        <f>'Andina DT'!G13+'Arca DT'!G13+'Femsa DT'!G13+'RLee DT'!G13</f>
        <v>894294.21012735134</v>
      </c>
      <c r="H13" s="7">
        <f>'Andina DT'!H13+'Arca DT'!H13+'RLee DT'!I13</f>
        <v>3</v>
      </c>
      <c r="I13" s="7" t="e">
        <f>'Andina DT'!#REF!</f>
        <v>#REF!</v>
      </c>
      <c r="J13" s="7" t="e">
        <f>'Femsa DT'!#REF!</f>
        <v>#REF!</v>
      </c>
      <c r="K13" s="7">
        <f>'Andina DT'!I13+'Arca DT'!I13+'Femsa DT'!H13+'RLee DT'!J13</f>
        <v>-431864.12055902299</v>
      </c>
      <c r="L13" s="7">
        <f>'Andina DT'!J13+'Arca DT'!J13+'Femsa DT'!I13+'RLee DT'!K13</f>
        <v>35519338.747290589</v>
      </c>
      <c r="M13" s="124">
        <f t="shared" si="0"/>
        <v>-4.1786346075259662E-2</v>
      </c>
      <c r="N13" s="128"/>
    </row>
    <row r="14" spans="1:14" x14ac:dyDescent="0.3">
      <c r="A14" s="6" t="s">
        <v>10</v>
      </c>
      <c r="B14" s="7">
        <f>'Andina DT'!B14+'Arca DT'!B14+'Femsa DT'!B14+'RLee DT'!B14</f>
        <v>39229594.211300001</v>
      </c>
      <c r="C14" s="7">
        <f>'Andina DT'!C14+'Arca DT'!C14+'Femsa DT'!C14+'RLee DT'!C14</f>
        <v>2182480.5330709149</v>
      </c>
      <c r="D14" s="7">
        <f>'Andina DT'!D14+'Arca DT'!D14+'Femsa DT'!D14+'RLee DT'!D14</f>
        <v>-663548.71455486177</v>
      </c>
      <c r="E14" s="7">
        <f>'Andina DT'!E14+'Arca DT'!E14+'Femsa DT'!E14+'RLee DT'!E14</f>
        <v>2272653.0016556429</v>
      </c>
      <c r="F14" s="7">
        <f>'Andina DT'!F14+'Arca DT'!F14+'Femsa DT'!F14+'RLee DT'!F14</f>
        <v>-2778183.066173363</v>
      </c>
      <c r="G14" s="7">
        <f>'Andina DT'!G14+'Arca DT'!G14+'Femsa DT'!G14+'RLee DT'!G14</f>
        <v>-2181730.603546124</v>
      </c>
      <c r="H14" s="7">
        <f>'Andina DT'!H14+'Arca DT'!H14+'RLee DT'!I14</f>
        <v>3</v>
      </c>
      <c r="I14" s="7" t="e">
        <f>'Andina DT'!#REF!</f>
        <v>#REF!</v>
      </c>
      <c r="J14" s="7" t="e">
        <f>'Femsa DT'!#REF!</f>
        <v>#REF!</v>
      </c>
      <c r="K14" s="7">
        <f>'Andina DT'!I14+'Arca DT'!I14+'Femsa DT'!H14+'RLee DT'!J14</f>
        <v>73119.861634486035</v>
      </c>
      <c r="L14" s="7">
        <f>'Andina DT'!J14+'Arca DT'!J14+'Femsa DT'!I14+'RLee DT'!K14</f>
        <v>38134389.223386697</v>
      </c>
      <c r="M14" s="124">
        <f t="shared" si="0"/>
        <v>-2.7917826068102225E-2</v>
      </c>
      <c r="N14" s="128"/>
    </row>
    <row r="15" spans="1:14" x14ac:dyDescent="0.3">
      <c r="A15" s="6" t="s">
        <v>11</v>
      </c>
      <c r="B15" s="7">
        <f>'Andina DT'!B15+'Arca DT'!B15+'Femsa DT'!B15+'RLee DT'!B15</f>
        <v>68333543.223799989</v>
      </c>
      <c r="C15" s="7">
        <f>'Andina DT'!C15+'Arca DT'!C15+'Femsa DT'!C15+'RLee DT'!C15</f>
        <v>369004.51689047407</v>
      </c>
      <c r="D15" s="7">
        <f>'Andina DT'!D15+'Arca DT'!D15+'Femsa DT'!D15+'RLee DT'!D15</f>
        <v>-1306262.6296241651</v>
      </c>
      <c r="E15" s="7">
        <f>'Andina DT'!E15+'Arca DT'!E15+'Femsa DT'!E15+'RLee DT'!E15</f>
        <v>4517955.373784706</v>
      </c>
      <c r="F15" s="7">
        <f>'Andina DT'!F15+'Arca DT'!F15+'Femsa DT'!F15+'RLee DT'!F15</f>
        <v>-4959506.0595551506</v>
      </c>
      <c r="G15" s="7">
        <f>'Andina DT'!G15+'Arca DT'!G15+'Femsa DT'!G15+'RLee DT'!G15</f>
        <v>-814129.65131106414</v>
      </c>
      <c r="H15" s="7">
        <f>'Andina DT'!H15+'Arca DT'!H15+'RLee DT'!I15</f>
        <v>3</v>
      </c>
      <c r="I15" s="7" t="e">
        <f>'Andina DT'!#REF!</f>
        <v>#REF!</v>
      </c>
      <c r="J15" s="7" t="e">
        <f>'Femsa DT'!#REF!</f>
        <v>#REF!</v>
      </c>
      <c r="K15" s="7">
        <f>'Andina DT'!I15+'Arca DT'!I15+'Femsa DT'!H15+'RLee DT'!J15</f>
        <v>-1607592.1139306594</v>
      </c>
      <c r="L15" s="7">
        <f>'Andina DT'!J15+'Arca DT'!J15+'Femsa DT'!I15+'RLee DT'!K15</f>
        <v>64533016.660054147</v>
      </c>
      <c r="M15" s="124">
        <f t="shared" si="0"/>
        <v>-5.5617291076195063E-2</v>
      </c>
      <c r="N15" s="128"/>
    </row>
    <row r="16" spans="1:14" x14ac:dyDescent="0.3">
      <c r="A16" s="8" t="s">
        <v>27</v>
      </c>
      <c r="B16" s="9">
        <f>SUM(B4:B15)</f>
        <v>492338296.37890005</v>
      </c>
      <c r="C16" s="9">
        <f t="shared" ref="C16:L16" si="1">SUM(C4:C15)</f>
        <v>2158449.6653592829</v>
      </c>
      <c r="D16" s="9">
        <f t="shared" si="1"/>
        <v>-3145351.2007268923</v>
      </c>
      <c r="E16" s="9">
        <f t="shared" si="1"/>
        <v>7465582.8119721338</v>
      </c>
      <c r="F16" s="9">
        <f t="shared" si="1"/>
        <v>-30584219.288325876</v>
      </c>
      <c r="G16" s="9">
        <f t="shared" si="1"/>
        <v>3152279.203508405</v>
      </c>
      <c r="H16" s="9">
        <f t="shared" si="1"/>
        <v>36</v>
      </c>
      <c r="I16" s="9" t="e">
        <f t="shared" si="1"/>
        <v>#REF!</v>
      </c>
      <c r="J16" s="9" t="e">
        <f t="shared" si="1"/>
        <v>#REF!</v>
      </c>
      <c r="K16" s="9">
        <f t="shared" si="1"/>
        <v>-759385.54318526376</v>
      </c>
      <c r="L16" s="9">
        <f t="shared" si="1"/>
        <v>470625700.02750182</v>
      </c>
      <c r="M16" s="125">
        <f t="shared" si="0"/>
        <v>-4.4100969823172909E-2</v>
      </c>
      <c r="N16" s="128"/>
    </row>
    <row r="17" spans="1:14" x14ac:dyDescent="0.3">
      <c r="L17" s="88"/>
    </row>
    <row r="18" spans="1:14" ht="28.8" outlineLevel="1" x14ac:dyDescent="0.3">
      <c r="A18" s="86"/>
      <c r="B18" s="86"/>
      <c r="C18" s="86" t="s">
        <v>21</v>
      </c>
      <c r="D18" s="86" t="s">
        <v>22</v>
      </c>
      <c r="E18" s="86" t="s">
        <v>23</v>
      </c>
      <c r="F18" s="86" t="s">
        <v>24</v>
      </c>
      <c r="G18" s="86" t="s">
        <v>25</v>
      </c>
      <c r="H18" s="5" t="s">
        <v>60</v>
      </c>
      <c r="I18" s="5" t="s">
        <v>61</v>
      </c>
      <c r="J18" s="5" t="s">
        <v>63</v>
      </c>
      <c r="K18" s="86" t="s">
        <v>62</v>
      </c>
      <c r="L18" s="86" t="s">
        <v>65</v>
      </c>
    </row>
    <row r="19" spans="1:14" outlineLevel="1" x14ac:dyDescent="0.3">
      <c r="A19" s="307" t="str">
        <f>"Dif. FY " &amp; A2 &amp; " vs " &amp; A22</f>
        <v>Dif. FY w47 vs w43</v>
      </c>
      <c r="B19" s="308"/>
      <c r="C19" s="114">
        <f>C16-C36</f>
        <v>-25669.729417655617</v>
      </c>
      <c r="D19" s="114">
        <f t="shared" ref="D19:L19" si="2">D16-D36</f>
        <v>-2072932.5350460713</v>
      </c>
      <c r="E19" s="114">
        <f t="shared" si="2"/>
        <v>99264.050022961572</v>
      </c>
      <c r="F19" s="114">
        <f t="shared" si="2"/>
        <v>109166.79397822171</v>
      </c>
      <c r="G19" s="114">
        <f>G16-G36</f>
        <v>27294.661858376581</v>
      </c>
      <c r="H19" s="114">
        <f>H16-H36</f>
        <v>0</v>
      </c>
      <c r="I19" s="114" t="e">
        <f>I16-I36</f>
        <v>#REF!</v>
      </c>
      <c r="J19" s="114" t="e">
        <f>J16-J36</f>
        <v>#REF!</v>
      </c>
      <c r="K19" s="114">
        <f t="shared" si="2"/>
        <v>18063.58465157426</v>
      </c>
      <c r="L19" s="114">
        <f t="shared" si="2"/>
        <v>-1844813.1739525199</v>
      </c>
    </row>
    <row r="20" spans="1:14" outlineLevel="1" x14ac:dyDescent="0.3">
      <c r="A20" s="307" t="str">
        <f>"Var. FY " &amp; A3 &amp; " vs " &amp; A23</f>
        <v>Var. FY Mes vs Mes</v>
      </c>
      <c r="B20" s="308"/>
      <c r="C20" s="134">
        <f>(C16-C36)/ABS(C36)</f>
        <v>-1.1752896604023443E-2</v>
      </c>
      <c r="D20" s="134">
        <f t="shared" ref="D20:L20" si="3">(D16-D36)/ABS(D36)</f>
        <v>-1.9329508161162765</v>
      </c>
      <c r="E20" s="134">
        <f t="shared" si="3"/>
        <v>1.3475394322563325E-2</v>
      </c>
      <c r="F20" s="134">
        <f t="shared" si="3"/>
        <v>3.5566878703278851E-3</v>
      </c>
      <c r="G20" s="134">
        <f t="shared" si="3"/>
        <v>8.7343350005708118E-3</v>
      </c>
      <c r="H20" s="134">
        <f t="shared" ref="H20:I20" si="4">(H16-H36)/ABS(H36)</f>
        <v>0</v>
      </c>
      <c r="I20" s="134" t="e">
        <f t="shared" si="4"/>
        <v>#REF!</v>
      </c>
      <c r="J20" s="134" t="e">
        <f t="shared" ref="J20" si="5">(J16-J36)/ABS(J36)</f>
        <v>#REF!</v>
      </c>
      <c r="K20" s="134">
        <f t="shared" si="3"/>
        <v>2.3234426542909744E-2</v>
      </c>
      <c r="L20" s="134">
        <f t="shared" si="3"/>
        <v>-3.9046101765210462E-3</v>
      </c>
    </row>
    <row r="21" spans="1:14" x14ac:dyDescent="0.3">
      <c r="B21" s="90"/>
      <c r="C21" s="89"/>
      <c r="L21" s="90"/>
      <c r="M21" s="89"/>
      <c r="N21" s="132"/>
    </row>
    <row r="22" spans="1:14" x14ac:dyDescent="0.3">
      <c r="A22" s="306" t="str">
        <f>'Andina DT'!A22:J22</f>
        <v>w43</v>
      </c>
      <c r="B22" s="306"/>
      <c r="C22" s="306"/>
      <c r="D22" s="306"/>
      <c r="E22" s="306"/>
      <c r="F22" s="306"/>
      <c r="G22" s="306"/>
      <c r="H22" s="306"/>
      <c r="I22" s="306"/>
      <c r="J22" s="306"/>
      <c r="K22" s="306"/>
      <c r="L22" s="306"/>
    </row>
    <row r="23" spans="1:14" ht="28.8" x14ac:dyDescent="0.3">
      <c r="A23" s="5" t="s">
        <v>34</v>
      </c>
      <c r="B23" s="5" t="s">
        <v>26</v>
      </c>
      <c r="C23" s="5" t="s">
        <v>21</v>
      </c>
      <c r="D23" s="5" t="s">
        <v>22</v>
      </c>
      <c r="E23" s="5" t="s">
        <v>23</v>
      </c>
      <c r="F23" s="5" t="s">
        <v>24</v>
      </c>
      <c r="G23" s="5" t="s">
        <v>25</v>
      </c>
      <c r="H23" s="5" t="s">
        <v>60</v>
      </c>
      <c r="I23" s="5" t="s">
        <v>61</v>
      </c>
      <c r="J23" s="5" t="s">
        <v>63</v>
      </c>
      <c r="K23" s="5" t="s">
        <v>62</v>
      </c>
      <c r="L23" s="5" t="s">
        <v>65</v>
      </c>
      <c r="M23" s="130" t="s">
        <v>66</v>
      </c>
      <c r="N23" s="129"/>
    </row>
    <row r="24" spans="1:14" x14ac:dyDescent="0.3">
      <c r="A24" s="6" t="s">
        <v>0</v>
      </c>
      <c r="B24" s="7">
        <f>'Andina DT'!B24+'Arca DT'!B24+'Femsa DT'!B24+'RLee DT'!B24</f>
        <v>37689568.447300002</v>
      </c>
      <c r="C24" s="7">
        <f>'Andina DT'!C24+'Arca DT'!C24+'Femsa DT'!C24+'RLee DT'!C24</f>
        <v>-1601075.2169974123</v>
      </c>
      <c r="D24" s="7">
        <f>'Andina DT'!D24+'Arca DT'!D24+'Femsa DT'!D24+'RLee DT'!D24</f>
        <v>1507999.0470992872</v>
      </c>
      <c r="E24" s="7">
        <f>'Andina DT'!E24+'Arca DT'!E24+'Femsa DT'!E24+'RLee DT'!E24</f>
        <v>-806436.57816179993</v>
      </c>
      <c r="F24" s="7">
        <f>'Andina DT'!F24+'Arca DT'!F24+'Femsa DT'!F24+'RLee DT'!F24</f>
        <v>-2636868.0713929101</v>
      </c>
      <c r="G24" s="7">
        <f>'Andina DT'!G24+'Arca DT'!G24+'Femsa DT'!G24+'RLee DT'!G24</f>
        <v>784550.67028542631</v>
      </c>
      <c r="H24" s="7">
        <f>'Andina DT'!H24+'Arca DT'!H24+'RLee DT'!I24</f>
        <v>3</v>
      </c>
      <c r="I24" s="7" t="e">
        <f>'Andina DT'!#REF!</f>
        <v>#REF!</v>
      </c>
      <c r="J24" s="7" t="e">
        <f>'Femsa DT'!#REF!</f>
        <v>#REF!</v>
      </c>
      <c r="K24" s="7">
        <f>'Andina DT'!I24+'Arca DT'!I24+'Femsa DT'!H24+'RLee DT'!J24</f>
        <v>1287415.325067441</v>
      </c>
      <c r="L24" s="7">
        <f>'Andina DT'!J24+'Arca DT'!J24+'Femsa DT'!I24+'RLee DT'!K24</f>
        <v>36225157.623200037</v>
      </c>
      <c r="M24" s="123">
        <f>L24/B24-1</f>
        <v>-3.8854539450288494E-2</v>
      </c>
      <c r="N24" s="128"/>
    </row>
    <row r="25" spans="1:14" x14ac:dyDescent="0.3">
      <c r="A25" s="6" t="s">
        <v>1</v>
      </c>
      <c r="B25" s="7">
        <f>'Andina DT'!B25+'Arca DT'!B25+'Femsa DT'!B25+'RLee DT'!B25</f>
        <v>43268486.237000003</v>
      </c>
      <c r="C25" s="7">
        <f>'Andina DT'!C25+'Arca DT'!C25+'Femsa DT'!C25+'RLee DT'!C25</f>
        <v>-254948.238650065</v>
      </c>
      <c r="D25" s="7">
        <f>'Andina DT'!D25+'Arca DT'!D25+'Femsa DT'!D25+'RLee DT'!D25</f>
        <v>1031169.609653</v>
      </c>
      <c r="E25" s="7">
        <f>'Andina DT'!E25+'Arca DT'!E25+'Femsa DT'!E25+'RLee DT'!E25</f>
        <v>-246732.11000888387</v>
      </c>
      <c r="F25" s="7">
        <f>'Andina DT'!F25+'Arca DT'!F25+'Femsa DT'!F25+'RLee DT'!F25</f>
        <v>-2973246.115545054</v>
      </c>
      <c r="G25" s="7">
        <f>'Andina DT'!G25+'Arca DT'!G25+'Femsa DT'!G25+'RLee DT'!G25</f>
        <v>-180758.79514661219</v>
      </c>
      <c r="H25" s="7">
        <f>'Andina DT'!H25+'Arca DT'!H25+'RLee DT'!I25</f>
        <v>3</v>
      </c>
      <c r="I25" s="7" t="e">
        <f>'Andina DT'!#REF!</f>
        <v>#REF!</v>
      </c>
      <c r="J25" s="7" t="e">
        <f>'Femsa DT'!#REF!</f>
        <v>#REF!</v>
      </c>
      <c r="K25" s="7">
        <f>'Andina DT'!I25+'Arca DT'!I25+'Femsa DT'!H25+'RLee DT'!J25</f>
        <v>2500608.5976976813</v>
      </c>
      <c r="L25" s="7">
        <f>'Andina DT'!J25+'Arca DT'!J25+'Femsa DT'!I25+'RLee DT'!K25</f>
        <v>43144583.185000069</v>
      </c>
      <c r="M25" s="124">
        <f t="shared" ref="M25:M36" si="6">L25/B25-1</f>
        <v>-2.8635864754145146E-3</v>
      </c>
      <c r="N25" s="128"/>
    </row>
    <row r="26" spans="1:14" x14ac:dyDescent="0.3">
      <c r="A26" s="6" t="s">
        <v>2</v>
      </c>
      <c r="B26" s="7">
        <f>'Andina DT'!B26+'Arca DT'!B26+'Femsa DT'!B26+'RLee DT'!B26</f>
        <v>48384732.252999991</v>
      </c>
      <c r="C26" s="7">
        <f>'Andina DT'!C26+'Arca DT'!C26+'Femsa DT'!C26+'RLee DT'!C26</f>
        <v>-2259948.0889011989</v>
      </c>
      <c r="D26" s="7">
        <f>'Andina DT'!D26+'Arca DT'!D26+'Femsa DT'!D26+'RLee DT'!D26</f>
        <v>1164784.1538416592</v>
      </c>
      <c r="E26" s="7">
        <f>'Andina DT'!E26+'Arca DT'!E26+'Femsa DT'!E26+'RLee DT'!E26</f>
        <v>236559.1256773551</v>
      </c>
      <c r="F26" s="7">
        <f>'Andina DT'!F26+'Arca DT'!F26+'Femsa DT'!F26+'RLee DT'!F26</f>
        <v>-2671145.405021382</v>
      </c>
      <c r="G26" s="7">
        <f>'Andina DT'!G26+'Arca DT'!G26+'Femsa DT'!G26+'RLee DT'!G26</f>
        <v>3173336.3824991873</v>
      </c>
      <c r="H26" s="7">
        <f>'Andina DT'!H26+'Arca DT'!H26+'RLee DT'!I26</f>
        <v>3</v>
      </c>
      <c r="I26" s="7" t="e">
        <f>'Andina DT'!#REF!</f>
        <v>#REF!</v>
      </c>
      <c r="J26" s="7" t="e">
        <f>'Femsa DT'!#REF!</f>
        <v>#REF!</v>
      </c>
      <c r="K26" s="7">
        <f>'Andina DT'!I26+'Arca DT'!I26+'Femsa DT'!H26+'RLee DT'!J26</f>
        <v>838658.06214614608</v>
      </c>
      <c r="L26" s="7">
        <f>'Andina DT'!J26+'Arca DT'!J26+'Femsa DT'!I26+'RLee DT'!K26</f>
        <v>48866980.483241774</v>
      </c>
      <c r="M26" s="124">
        <f t="shared" si="6"/>
        <v>9.966950477686698E-3</v>
      </c>
      <c r="N26" s="128"/>
    </row>
    <row r="27" spans="1:14" x14ac:dyDescent="0.3">
      <c r="A27" s="6" t="s">
        <v>3</v>
      </c>
      <c r="B27" s="7">
        <f>'Andina DT'!B27+'Arca DT'!B27+'Femsa DT'!B27+'RLee DT'!B27</f>
        <v>35252726.253799997</v>
      </c>
      <c r="C27" s="7">
        <f>'Andina DT'!C27+'Arca DT'!C27+'Femsa DT'!C27+'RLee DT'!C27</f>
        <v>1076351.05905432</v>
      </c>
      <c r="D27" s="7">
        <f>'Andina DT'!D27+'Arca DT'!D27+'Femsa DT'!D27+'RLee DT'!D27</f>
        <v>503977.45759939199</v>
      </c>
      <c r="E27" s="7">
        <f>'Andina DT'!E27+'Arca DT'!E27+'Femsa DT'!E27+'RLee DT'!E27</f>
        <v>61311.036370967049</v>
      </c>
      <c r="F27" s="7">
        <f>'Andina DT'!F27+'Arca DT'!F27+'Femsa DT'!F27+'RLee DT'!F27</f>
        <v>-1833265.8864108436</v>
      </c>
      <c r="G27" s="7">
        <f>'Andina DT'!G27+'Arca DT'!G27+'Femsa DT'!G27+'RLee DT'!G27</f>
        <v>-615927.03705558297</v>
      </c>
      <c r="H27" s="7">
        <f>'Andina DT'!H27+'Arca DT'!H27+'RLee DT'!I27</f>
        <v>3</v>
      </c>
      <c r="I27" s="7" t="e">
        <f>'Andina DT'!#REF!</f>
        <v>#REF!</v>
      </c>
      <c r="J27" s="7" t="e">
        <f>'Femsa DT'!#REF!</f>
        <v>#REF!</v>
      </c>
      <c r="K27" s="7">
        <f>'Andina DT'!I27+'Arca DT'!I27+'Femsa DT'!H27+'RLee DT'!J27</f>
        <v>-466950.41744388489</v>
      </c>
      <c r="L27" s="7">
        <f>'Andina DT'!J27+'Arca DT'!J27+'Femsa DT'!I27+'RLee DT'!K27</f>
        <v>33978226.465914369</v>
      </c>
      <c r="M27" s="124">
        <f t="shared" si="6"/>
        <v>-3.6153226241566139E-2</v>
      </c>
      <c r="N27" s="128"/>
    </row>
    <row r="28" spans="1:14" x14ac:dyDescent="0.3">
      <c r="A28" s="6" t="s">
        <v>4</v>
      </c>
      <c r="B28" s="7">
        <f>'Andina DT'!B28+'Arca DT'!B28+'Femsa DT'!B28+'RLee DT'!B28</f>
        <v>32868774.766899996</v>
      </c>
      <c r="C28" s="7">
        <f>'Andina DT'!C28+'Arca DT'!C28+'Femsa DT'!C28+'RLee DT'!C28</f>
        <v>1078727.9573837891</v>
      </c>
      <c r="D28" s="7">
        <f>'Andina DT'!D28+'Arca DT'!D28+'Femsa DT'!D28+'RLee DT'!D28</f>
        <v>-343705.16380017978</v>
      </c>
      <c r="E28" s="7">
        <f>'Andina DT'!E28+'Arca DT'!E28+'Femsa DT'!E28+'RLee DT'!E28</f>
        <v>-136900.02718548552</v>
      </c>
      <c r="F28" s="7">
        <f>'Andina DT'!F28+'Arca DT'!F28+'Femsa DT'!F28+'RLee DT'!F28</f>
        <v>-2224067.3333954611</v>
      </c>
      <c r="G28" s="7">
        <f>'Andina DT'!G28+'Arca DT'!G28+'Femsa DT'!G28+'RLee DT'!G28</f>
        <v>595813.33154376084</v>
      </c>
      <c r="H28" s="7">
        <f>'Andina DT'!H28+'Arca DT'!H28+'RLee DT'!I28</f>
        <v>3</v>
      </c>
      <c r="I28" s="7" t="e">
        <f>'Andina DT'!#REF!</f>
        <v>#REF!</v>
      </c>
      <c r="J28" s="7" t="e">
        <f>'Femsa DT'!#REF!</f>
        <v>#REF!</v>
      </c>
      <c r="K28" s="7">
        <f>'Andina DT'!I28+'Arca DT'!I28+'Femsa DT'!H28+'RLee DT'!J28</f>
        <v>126750.75361405229</v>
      </c>
      <c r="L28" s="7">
        <f>'Andina DT'!J28+'Arca DT'!J28+'Femsa DT'!I28+'RLee DT'!K28</f>
        <v>31965398.285060477</v>
      </c>
      <c r="M28" s="124">
        <f t="shared" si="6"/>
        <v>-2.7484336980800661E-2</v>
      </c>
      <c r="N28" s="128"/>
    </row>
    <row r="29" spans="1:14" x14ac:dyDescent="0.3">
      <c r="A29" s="6" t="s">
        <v>5</v>
      </c>
      <c r="B29" s="7">
        <f>'Andina DT'!B29+'Arca DT'!B29+'Femsa DT'!B29+'RLee DT'!B29</f>
        <v>39130976.063900001</v>
      </c>
      <c r="C29" s="7">
        <f>'Andina DT'!C29+'Arca DT'!C29+'Femsa DT'!C29+'RLee DT'!C29</f>
        <v>249497.00398929088</v>
      </c>
      <c r="D29" s="7">
        <f>'Andina DT'!D29+'Arca DT'!D29+'Femsa DT'!D29+'RLee DT'!D29</f>
        <v>-1021561.5839802991</v>
      </c>
      <c r="E29" s="7">
        <f>'Andina DT'!E29+'Arca DT'!E29+'Femsa DT'!E29+'RLee DT'!E29</f>
        <v>-346605.20400059898</v>
      </c>
      <c r="F29" s="7">
        <f>'Andina DT'!F29+'Arca DT'!F29+'Femsa DT'!F29+'RLee DT'!F29</f>
        <v>-2600943.3271713271</v>
      </c>
      <c r="G29" s="7">
        <f>'Andina DT'!G29+'Arca DT'!G29+'Femsa DT'!G29+'RLee DT'!G29</f>
        <v>900953.15103015641</v>
      </c>
      <c r="H29" s="7">
        <f>'Andina DT'!H29+'Arca DT'!H29+'RLee DT'!I29</f>
        <v>3</v>
      </c>
      <c r="I29" s="7" t="e">
        <f>'Andina DT'!#REF!</f>
        <v>#REF!</v>
      </c>
      <c r="J29" s="7" t="e">
        <f>'Femsa DT'!#REF!</f>
        <v>#REF!</v>
      </c>
      <c r="K29" s="7">
        <f>'Andina DT'!I29+'Arca DT'!I29+'Femsa DT'!H29+'RLee DT'!J29</f>
        <v>17822.263604840962</v>
      </c>
      <c r="L29" s="7">
        <f>'Andina DT'!J29+'Arca DT'!J29+'Femsa DT'!I29+'RLee DT'!K29</f>
        <v>36330142.367372066</v>
      </c>
      <c r="M29" s="124">
        <f t="shared" si="6"/>
        <v>-7.1575871042783068E-2</v>
      </c>
      <c r="N29" s="128"/>
    </row>
    <row r="30" spans="1:14" x14ac:dyDescent="0.3">
      <c r="A30" s="6" t="s">
        <v>6</v>
      </c>
      <c r="B30" s="7">
        <f>'Andina DT'!B30+'Arca DT'!B30+'Femsa DT'!B30+'RLee DT'!B30</f>
        <v>34108564.703000002</v>
      </c>
      <c r="C30" s="7">
        <f>'Andina DT'!C30+'Arca DT'!C30+'Femsa DT'!C30+'RLee DT'!C30</f>
        <v>227605.36713236989</v>
      </c>
      <c r="D30" s="7">
        <f>'Andina DT'!D30+'Arca DT'!D30+'Femsa DT'!D30+'RLee DT'!D30</f>
        <v>-1516719.4092077829</v>
      </c>
      <c r="E30" s="7">
        <f>'Andina DT'!E30+'Arca DT'!E30+'Femsa DT'!E30+'RLee DT'!E30</f>
        <v>-523510.91520691803</v>
      </c>
      <c r="F30" s="7">
        <f>'Andina DT'!F30+'Arca DT'!F30+'Femsa DT'!F30+'RLee DT'!F30</f>
        <v>-1846870.3923931671</v>
      </c>
      <c r="G30" s="7">
        <f>'Andina DT'!G30+'Arca DT'!G30+'Femsa DT'!G30+'RLee DT'!G30</f>
        <v>-1231688.8166746325</v>
      </c>
      <c r="H30" s="7">
        <f>'Andina DT'!H30+'Arca DT'!H30+'RLee DT'!I30</f>
        <v>3</v>
      </c>
      <c r="I30" s="7" t="e">
        <f>'Andina DT'!#REF!</f>
        <v>#REF!</v>
      </c>
      <c r="J30" s="7" t="e">
        <f>'Femsa DT'!#REF!</f>
        <v>#REF!</v>
      </c>
      <c r="K30" s="7">
        <f>'Andina DT'!I30+'Arca DT'!I30+'Femsa DT'!H30+'RLee DT'!J30</f>
        <v>-2591189.8746975008</v>
      </c>
      <c r="L30" s="7">
        <f>'Andina DT'!J30+'Arca DT'!J30+'Femsa DT'!I30+'RLee DT'!K30</f>
        <v>26626194.661952369</v>
      </c>
      <c r="M30" s="124">
        <f t="shared" si="6"/>
        <v>-0.2193692436547916</v>
      </c>
      <c r="N30" s="128"/>
    </row>
    <row r="31" spans="1:14" x14ac:dyDescent="0.3">
      <c r="A31" s="6" t="s">
        <v>7</v>
      </c>
      <c r="B31" s="7">
        <f>'Andina DT'!B31+'Arca DT'!B31+'Femsa DT'!B31+'RLee DT'!B31</f>
        <v>33657961.558899999</v>
      </c>
      <c r="C31" s="7">
        <f>'Andina DT'!C31+'Arca DT'!C31+'Femsa DT'!C31+'RLee DT'!C31</f>
        <v>0</v>
      </c>
      <c r="D31" s="7">
        <f>'Andina DT'!D31+'Arca DT'!D31+'Femsa DT'!D31+'RLee DT'!D31</f>
        <v>-500201.45895196521</v>
      </c>
      <c r="E31" s="7">
        <f>'Andina DT'!E31+'Arca DT'!E31+'Femsa DT'!E31+'RLee DT'!E31</f>
        <v>-41760.936247477948</v>
      </c>
      <c r="F31" s="7">
        <f>'Andina DT'!F31+'Arca DT'!F31+'Femsa DT'!F31+'RLee DT'!F31</f>
        <v>-1737232.5793759071</v>
      </c>
      <c r="G31" s="7">
        <f>'Andina DT'!G31+'Arca DT'!G31+'Femsa DT'!G31+'RLee DT'!G31</f>
        <v>1335780.45866754</v>
      </c>
      <c r="H31" s="7">
        <f>'Andina DT'!H31+'Arca DT'!H31+'RLee DT'!I31</f>
        <v>3</v>
      </c>
      <c r="I31" s="7" t="e">
        <f>'Andina DT'!#REF!</f>
        <v>#REF!</v>
      </c>
      <c r="J31" s="7" t="e">
        <f>'Femsa DT'!#REF!</f>
        <v>#REF!</v>
      </c>
      <c r="K31" s="7">
        <f>'Andina DT'!I31+'Arca DT'!I31+'Femsa DT'!H31+'RLee DT'!J31</f>
        <v>-573092.64044618397</v>
      </c>
      <c r="L31" s="7">
        <f>'Andina DT'!J31+'Arca DT'!J31+'Femsa DT'!I31+'RLee DT'!K31</f>
        <v>32141458.402546007</v>
      </c>
      <c r="M31" s="124">
        <f t="shared" si="6"/>
        <v>-4.5056298305533926E-2</v>
      </c>
      <c r="N31" s="128"/>
    </row>
    <row r="32" spans="1:14" x14ac:dyDescent="0.3">
      <c r="A32" s="6" t="s">
        <v>8</v>
      </c>
      <c r="B32" s="7">
        <f>'Andina DT'!B32+'Arca DT'!B32+'Femsa DT'!B32+'RLee DT'!B32</f>
        <v>43345081.643000007</v>
      </c>
      <c r="C32" s="7">
        <f>'Andina DT'!C32+'Arca DT'!C32+'Femsa DT'!C32+'RLee DT'!C32</f>
        <v>1090626.4998460391</v>
      </c>
      <c r="D32" s="7">
        <f>'Andina DT'!D32+'Arca DT'!D32+'Femsa DT'!D32+'RLee DT'!D32</f>
        <v>-883396.19934808812</v>
      </c>
      <c r="E32" s="7">
        <f>'Andina DT'!E32+'Arca DT'!E32+'Femsa DT'!E32+'RLee DT'!E32</f>
        <v>863934.27090322401</v>
      </c>
      <c r="F32" s="7">
        <f>'Andina DT'!F32+'Arca DT'!F32+'Femsa DT'!F32+'RLee DT'!F32</f>
        <v>-1946792.845945006</v>
      </c>
      <c r="G32" s="7">
        <f>'Andina DT'!G32+'Arca DT'!G32+'Femsa DT'!G32+'RLee DT'!G32</f>
        <v>491624.89754660858</v>
      </c>
      <c r="H32" s="7">
        <f>'Andina DT'!H32+'Arca DT'!H32+'RLee DT'!I32</f>
        <v>3</v>
      </c>
      <c r="I32" s="7" t="e">
        <f>'Andina DT'!#REF!</f>
        <v>#REF!</v>
      </c>
      <c r="J32" s="7" t="e">
        <f>'Femsa DT'!#REF!</f>
        <v>#REF!</v>
      </c>
      <c r="K32" s="7">
        <f>'Andina DT'!I32+'Arca DT'!I32+'Femsa DT'!H32+'RLee DT'!J32</f>
        <v>68777.58366906982</v>
      </c>
      <c r="L32" s="7">
        <f>'Andina DT'!J32+'Arca DT'!J32+'Femsa DT'!I32+'RLee DT'!K32</f>
        <v>43029859.849671848</v>
      </c>
      <c r="M32" s="124">
        <f t="shared" si="6"/>
        <v>-7.2723774273721897E-3</v>
      </c>
      <c r="N32" s="128"/>
    </row>
    <row r="33" spans="1:14" x14ac:dyDescent="0.3">
      <c r="A33" s="6" t="s">
        <v>9</v>
      </c>
      <c r="B33" s="7">
        <f>'Andina DT'!B33+'Arca DT'!B33+'Femsa DT'!B33+'RLee DT'!B33</f>
        <v>37068287.017000005</v>
      </c>
      <c r="C33" s="7">
        <f>'Andina DT'!C33+'Arca DT'!C33+'Femsa DT'!C33+'RLee DT'!C33</f>
        <v>0</v>
      </c>
      <c r="D33" s="7">
        <f>'Andina DT'!D33+'Arca DT'!D33+'Femsa DT'!D33+'RLee DT'!D33</f>
        <v>-756756.42211499135</v>
      </c>
      <c r="E33" s="7">
        <f>'Andina DT'!E33+'Arca DT'!E33+'Femsa DT'!E33+'RLee DT'!E33</f>
        <v>1533082.0761893764</v>
      </c>
      <c r="F33" s="7">
        <f>'Andina DT'!F33+'Arca DT'!F33+'Femsa DT'!F33+'RLee DT'!F33</f>
        <v>-2386520.8165714229</v>
      </c>
      <c r="G33" s="7">
        <f>'Andina DT'!G33+'Arca DT'!G33+'Femsa DT'!G33+'RLee DT'!G33</f>
        <v>486425.52082616766</v>
      </c>
      <c r="H33" s="7">
        <f>'Andina DT'!H33+'Arca DT'!H33+'RLee DT'!I33</f>
        <v>3</v>
      </c>
      <c r="I33" s="7" t="e">
        <f>'Andina DT'!#REF!</f>
        <v>#REF!</v>
      </c>
      <c r="J33" s="7" t="e">
        <f>'Femsa DT'!#REF!</f>
        <v>#REF!</v>
      </c>
      <c r="K33" s="7">
        <f>'Andina DT'!I33+'Arca DT'!I33+'Femsa DT'!H33+'RLee DT'!J33</f>
        <v>-441786.34905167297</v>
      </c>
      <c r="L33" s="7">
        <f>'Andina DT'!J33+'Arca DT'!J33+'Femsa DT'!I33+'RLee DT'!K33</f>
        <v>35502735.026277453</v>
      </c>
      <c r="M33" s="124">
        <f t="shared" si="6"/>
        <v>-4.2234268608219439E-2</v>
      </c>
      <c r="N33" s="128"/>
    </row>
    <row r="34" spans="1:14" x14ac:dyDescent="0.3">
      <c r="A34" s="6" t="s">
        <v>10</v>
      </c>
      <c r="B34" s="7">
        <f>'Andina DT'!B34+'Arca DT'!B34+'Femsa DT'!B34+'RLee DT'!B34</f>
        <v>39229594.211300001</v>
      </c>
      <c r="C34" s="7">
        <f>'Andina DT'!C34+'Arca DT'!C34+'Femsa DT'!C34+'RLee DT'!C34</f>
        <v>2211144.9052459262</v>
      </c>
      <c r="D34" s="7">
        <f>'Andina DT'!D34+'Arca DT'!D34+'Femsa DT'!D34+'RLee DT'!D34</f>
        <v>32971.934909481904</v>
      </c>
      <c r="E34" s="7">
        <f>'Andina DT'!E34+'Arca DT'!E34+'Femsa DT'!E34+'RLee DT'!E34</f>
        <v>2270587.7420827299</v>
      </c>
      <c r="F34" s="7">
        <f>'Andina DT'!F34+'Arca DT'!F34+'Femsa DT'!F34+'RLee DT'!F34</f>
        <v>-2829030.2039648611</v>
      </c>
      <c r="G34" s="7">
        <f>'Andina DT'!G34+'Arca DT'!G34+'Femsa DT'!G34+'RLee DT'!G34</f>
        <v>-1803824.7114562029</v>
      </c>
      <c r="H34" s="7">
        <f>'Andina DT'!H34+'Arca DT'!H34+'RLee DT'!I34</f>
        <v>3</v>
      </c>
      <c r="I34" s="7" t="e">
        <f>'Andina DT'!#REF!</f>
        <v>#REF!</v>
      </c>
      <c r="J34" s="7" t="e">
        <f>'Femsa DT'!#REF!</f>
        <v>#REF!</v>
      </c>
      <c r="K34" s="7">
        <f>'Andina DT'!I34+'Arca DT'!I34+'Femsa DT'!H34+'RLee DT'!J34</f>
        <v>115521.67425132205</v>
      </c>
      <c r="L34" s="7">
        <f>'Andina DT'!J34+'Arca DT'!J34+'Femsa DT'!I34+'RLee DT'!K34</f>
        <v>39226969.552368388</v>
      </c>
      <c r="M34" s="124">
        <f t="shared" si="6"/>
        <v>-6.6905074711631762E-5</v>
      </c>
      <c r="N34" s="128"/>
    </row>
    <row r="35" spans="1:14" x14ac:dyDescent="0.3">
      <c r="A35" s="6" t="s">
        <v>11</v>
      </c>
      <c r="B35" s="7">
        <f>'Andina DT'!B35+'Arca DT'!B35+'Femsa DT'!B35+'RLee DT'!B35</f>
        <v>68333543.223799989</v>
      </c>
      <c r="C35" s="7">
        <f>'Andina DT'!C35+'Arca DT'!C35+'Femsa DT'!C35+'RLee DT'!C35</f>
        <v>366138.14667387999</v>
      </c>
      <c r="D35" s="7">
        <f>'Andina DT'!D35+'Arca DT'!D35+'Femsa DT'!D35+'RLee DT'!D35</f>
        <v>-290980.63138033531</v>
      </c>
      <c r="E35" s="7">
        <f>'Andina DT'!E35+'Arca DT'!E35+'Femsa DT'!E35+'RLee DT'!E35</f>
        <v>4502790.2815366844</v>
      </c>
      <c r="F35" s="7">
        <f>'Andina DT'!F35+'Arca DT'!F35+'Femsa DT'!F35+'RLee DT'!F35</f>
        <v>-5007403.1051167548</v>
      </c>
      <c r="G35" s="7">
        <f>'Andina DT'!G35+'Arca DT'!G35+'Femsa DT'!G35+'RLee DT'!G35</f>
        <v>-811300.51041578839</v>
      </c>
      <c r="H35" s="7">
        <f>'Andina DT'!H35+'Arca DT'!H35+'RLee DT'!I35</f>
        <v>3</v>
      </c>
      <c r="I35" s="7" t="e">
        <f>'Andina DT'!#REF!</f>
        <v>#REF!</v>
      </c>
      <c r="J35" s="7" t="e">
        <f>'Femsa DT'!#REF!</f>
        <v>#REF!</v>
      </c>
      <c r="K35" s="7">
        <f>'Andina DT'!I35+'Arca DT'!I35+'Femsa DT'!H35+'RLee DT'!J35</f>
        <v>-1659984.1062481496</v>
      </c>
      <c r="L35" s="7">
        <f>'Andina DT'!J35+'Arca DT'!J35+'Femsa DT'!I35+'RLee DT'!K35</f>
        <v>65432807.298849538</v>
      </c>
      <c r="M35" s="124">
        <f t="shared" si="6"/>
        <v>-4.244966363664493E-2</v>
      </c>
      <c r="N35" s="128"/>
    </row>
    <row r="36" spans="1:14" x14ac:dyDescent="0.3">
      <c r="A36" s="8" t="s">
        <v>27</v>
      </c>
      <c r="B36" s="9">
        <f>SUM(B24:B35)</f>
        <v>492338296.37890005</v>
      </c>
      <c r="C36" s="9">
        <f t="shared" ref="C36:L36" si="7">SUM(C24:C35)</f>
        <v>2184119.3947769385</v>
      </c>
      <c r="D36" s="9">
        <f t="shared" si="7"/>
        <v>-1072418.6656808211</v>
      </c>
      <c r="E36" s="9">
        <f t="shared" si="7"/>
        <v>7366318.7619491722</v>
      </c>
      <c r="F36" s="9">
        <f t="shared" si="7"/>
        <v>-30693386.082304098</v>
      </c>
      <c r="G36" s="9">
        <f t="shared" si="7"/>
        <v>3124984.5416500284</v>
      </c>
      <c r="H36" s="9">
        <f t="shared" si="7"/>
        <v>36</v>
      </c>
      <c r="I36" s="9" t="e">
        <f t="shared" si="7"/>
        <v>#REF!</v>
      </c>
      <c r="J36" s="9" t="e">
        <f t="shared" si="7"/>
        <v>#REF!</v>
      </c>
      <c r="K36" s="9">
        <f t="shared" si="7"/>
        <v>-777449.12783683802</v>
      </c>
      <c r="L36" s="9">
        <f t="shared" si="7"/>
        <v>472470513.20145434</v>
      </c>
      <c r="M36" s="125">
        <f t="shared" si="6"/>
        <v>-4.0353925996761353E-2</v>
      </c>
      <c r="N36" s="128"/>
    </row>
  </sheetData>
  <mergeCells count="5">
    <mergeCell ref="B1:L1"/>
    <mergeCell ref="A2:L2"/>
    <mergeCell ref="A19:B19"/>
    <mergeCell ref="A22:L22"/>
    <mergeCell ref="A20:B20"/>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S39"/>
  <sheetViews>
    <sheetView showGridLines="0" zoomScale="70" zoomScaleNormal="70" workbookViewId="0">
      <pane xSplit="1" ySplit="5" topLeftCell="B6" activePane="bottomRight" state="frozen"/>
      <selection pane="topRight"/>
      <selection pane="bottomLeft"/>
      <selection pane="bottomRight" activeCell="B7" sqref="B7:M7"/>
    </sheetView>
  </sheetViews>
  <sheetFormatPr baseColWidth="10" defaultColWidth="11.5546875" defaultRowHeight="14.4" x14ac:dyDescent="0.3"/>
  <cols>
    <col min="1" max="1" width="31.109375" bestFit="1" customWidth="1"/>
    <col min="2" max="3" width="11.88671875" style="250" customWidth="1"/>
    <col min="4" max="9" width="11.5546875" style="250"/>
    <col min="14" max="15" width="13.109375" bestFit="1" customWidth="1"/>
    <col min="16" max="16" width="12.5546875" bestFit="1" customWidth="1"/>
    <col min="22" max="25" width="11.5546875" style="250"/>
    <col min="30" max="33" width="11.5546875" style="250"/>
    <col min="42" max="45" width="11.5546875" style="250"/>
  </cols>
  <sheetData>
    <row r="1" spans="1:45" ht="32.25" customHeight="1" x14ac:dyDescent="0.3">
      <c r="B1" s="315" t="s">
        <v>69</v>
      </c>
      <c r="C1" s="315"/>
      <c r="D1" s="315"/>
      <c r="E1" s="315"/>
      <c r="F1" s="315" t="s">
        <v>28</v>
      </c>
      <c r="G1" s="315"/>
      <c r="H1" s="315"/>
      <c r="I1" s="315"/>
      <c r="J1" s="315" t="s">
        <v>57</v>
      </c>
      <c r="K1" s="315"/>
      <c r="L1" s="315"/>
      <c r="M1" s="315"/>
      <c r="N1" s="315" t="s">
        <v>54</v>
      </c>
      <c r="O1" s="315"/>
      <c r="P1" s="315"/>
      <c r="Q1" s="315"/>
      <c r="R1" s="315" t="s">
        <v>55</v>
      </c>
      <c r="S1" s="315"/>
      <c r="T1" s="315"/>
      <c r="U1" s="315"/>
      <c r="V1" s="315" t="s">
        <v>104</v>
      </c>
      <c r="W1" s="315"/>
      <c r="X1" s="315"/>
      <c r="Y1" s="315"/>
      <c r="Z1" s="315" t="s">
        <v>97</v>
      </c>
      <c r="AA1" s="315"/>
      <c r="AB1" s="315"/>
      <c r="AC1" s="315"/>
      <c r="AD1" s="315" t="s">
        <v>97</v>
      </c>
      <c r="AE1" s="315"/>
      <c r="AF1" s="315"/>
      <c r="AG1" s="315"/>
      <c r="AH1" s="315" t="s">
        <v>102</v>
      </c>
      <c r="AI1" s="315"/>
      <c r="AJ1" s="315"/>
      <c r="AK1" s="315"/>
      <c r="AL1" s="315" t="s">
        <v>39</v>
      </c>
      <c r="AM1" s="315"/>
      <c r="AN1" s="315"/>
      <c r="AO1" s="315"/>
      <c r="AP1" s="315" t="s">
        <v>99</v>
      </c>
      <c r="AQ1" s="315"/>
      <c r="AR1" s="315"/>
      <c r="AS1" s="315"/>
    </row>
    <row r="2" spans="1:45" x14ac:dyDescent="0.3">
      <c r="A2" s="183" t="s">
        <v>29</v>
      </c>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5"/>
      <c r="AI2" s="315"/>
      <c r="AJ2" s="315"/>
      <c r="AK2" s="315"/>
      <c r="AL2" s="315"/>
      <c r="AM2" s="315"/>
      <c r="AN2" s="315"/>
      <c r="AO2" s="315"/>
      <c r="AP2" s="315"/>
      <c r="AQ2" s="315"/>
      <c r="AR2" s="315"/>
      <c r="AS2" s="315"/>
    </row>
    <row r="3" spans="1:45" x14ac:dyDescent="0.3">
      <c r="A3" s="184" t="s">
        <v>30</v>
      </c>
      <c r="B3" s="315"/>
      <c r="C3" s="315"/>
      <c r="D3" s="315"/>
      <c r="E3" s="315"/>
      <c r="F3" s="315"/>
      <c r="G3" s="315"/>
      <c r="H3" s="315"/>
      <c r="I3" s="315"/>
      <c r="J3" s="315"/>
      <c r="K3" s="315"/>
      <c r="L3" s="315"/>
      <c r="M3" s="315"/>
      <c r="N3" s="315"/>
      <c r="O3" s="315"/>
      <c r="P3" s="315"/>
      <c r="Q3" s="315"/>
      <c r="R3" s="315"/>
      <c r="S3" s="315"/>
      <c r="T3" s="315"/>
      <c r="U3" s="315"/>
      <c r="V3" s="315"/>
      <c r="W3" s="315"/>
      <c r="X3" s="315"/>
      <c r="Y3" s="315"/>
      <c r="Z3" s="315"/>
      <c r="AA3" s="315"/>
      <c r="AB3" s="315"/>
      <c r="AC3" s="315"/>
      <c r="AD3" s="315"/>
      <c r="AE3" s="315"/>
      <c r="AF3" s="315"/>
      <c r="AG3" s="315"/>
      <c r="AH3" s="315"/>
      <c r="AI3" s="315"/>
      <c r="AJ3" s="315"/>
      <c r="AK3" s="315"/>
      <c r="AL3" s="315"/>
      <c r="AM3" s="315"/>
      <c r="AN3" s="315"/>
      <c r="AO3" s="315"/>
      <c r="AP3" s="315"/>
      <c r="AQ3" s="315"/>
      <c r="AR3" s="315"/>
      <c r="AS3" s="315"/>
    </row>
    <row r="4" spans="1:45" ht="14.25" customHeight="1" x14ac:dyDescent="0.3">
      <c r="A4" s="85" t="s">
        <v>42</v>
      </c>
      <c r="B4" s="315"/>
      <c r="C4" s="315"/>
      <c r="D4" s="315"/>
      <c r="E4" s="315"/>
      <c r="F4" s="315"/>
      <c r="G4" s="315"/>
      <c r="H4" s="315"/>
      <c r="I4" s="315"/>
      <c r="J4" s="315"/>
      <c r="K4" s="315"/>
      <c r="L4" s="315"/>
      <c r="M4" s="315"/>
      <c r="N4" s="315"/>
      <c r="O4" s="315"/>
      <c r="P4" s="315"/>
      <c r="Q4" s="315"/>
      <c r="R4" s="315"/>
      <c r="S4" s="315"/>
      <c r="T4" s="315"/>
      <c r="U4" s="315"/>
      <c r="V4" s="315"/>
      <c r="W4" s="315"/>
      <c r="X4" s="315"/>
      <c r="Y4" s="315"/>
      <c r="Z4" s="315"/>
      <c r="AA4" s="315"/>
      <c r="AB4" s="315"/>
      <c r="AC4" s="315"/>
      <c r="AD4" s="315"/>
      <c r="AE4" s="315"/>
      <c r="AF4" s="315"/>
      <c r="AG4" s="315"/>
      <c r="AH4" s="315"/>
      <c r="AI4" s="315"/>
      <c r="AJ4" s="315"/>
      <c r="AK4" s="315"/>
      <c r="AL4" s="315"/>
      <c r="AM4" s="315"/>
      <c r="AN4" s="315"/>
      <c r="AO4" s="315"/>
      <c r="AP4" s="315"/>
      <c r="AQ4" s="315"/>
      <c r="AR4" s="315"/>
      <c r="AS4" s="315"/>
    </row>
    <row r="5" spans="1:45" ht="14.25" customHeight="1" x14ac:dyDescent="0.3">
      <c r="A5" s="82" t="s">
        <v>56</v>
      </c>
      <c r="B5" s="315"/>
      <c r="C5" s="315"/>
      <c r="D5" s="315"/>
      <c r="E5" s="315"/>
      <c r="F5" s="315"/>
      <c r="G5" s="315"/>
      <c r="H5" s="315"/>
      <c r="I5" s="315"/>
      <c r="J5" s="315"/>
      <c r="K5" s="315"/>
      <c r="L5" s="315"/>
      <c r="M5" s="315"/>
      <c r="N5" s="315"/>
      <c r="O5" s="315"/>
      <c r="P5" s="315"/>
      <c r="Q5" s="315"/>
      <c r="R5" s="315"/>
      <c r="S5" s="315"/>
      <c r="T5" s="315"/>
      <c r="U5" s="315"/>
      <c r="V5" s="315"/>
      <c r="W5" s="315"/>
      <c r="X5" s="315"/>
      <c r="Y5" s="315"/>
      <c r="Z5" s="315"/>
      <c r="AA5" s="315"/>
      <c r="AB5" s="315"/>
      <c r="AC5" s="315"/>
      <c r="AD5" s="315"/>
      <c r="AE5" s="315"/>
      <c r="AF5" s="315"/>
      <c r="AG5" s="315"/>
      <c r="AH5" s="315"/>
      <c r="AI5" s="315"/>
      <c r="AJ5" s="315"/>
      <c r="AK5" s="315"/>
      <c r="AL5" s="315"/>
      <c r="AM5" s="315"/>
      <c r="AN5" s="315"/>
      <c r="AO5" s="315"/>
      <c r="AP5" s="315"/>
      <c r="AQ5" s="315"/>
      <c r="AR5" s="315"/>
      <c r="AS5" s="315"/>
    </row>
    <row r="6" spans="1:45" ht="15" thickBot="1" x14ac:dyDescent="0.35">
      <c r="A6" s="185" t="str">
        <f>"Paraguay - "&amp;'Andina DT'!A2:J2</f>
        <v>Paraguay - w47</v>
      </c>
      <c r="B6" s="33"/>
      <c r="C6" s="33"/>
      <c r="D6" s="33"/>
      <c r="E6" s="33"/>
      <c r="F6" s="33"/>
      <c r="G6" s="33"/>
      <c r="J6" s="186"/>
      <c r="K6" s="186"/>
    </row>
    <row r="7" spans="1:45" ht="15" thickBot="1" x14ac:dyDescent="0.35">
      <c r="A7" s="30"/>
      <c r="B7" s="312" t="s">
        <v>21</v>
      </c>
      <c r="C7" s="313"/>
      <c r="D7" s="313"/>
      <c r="E7" s="313"/>
      <c r="F7" s="313"/>
      <c r="G7" s="313"/>
      <c r="H7" s="313"/>
      <c r="I7" s="313"/>
      <c r="J7" s="313"/>
      <c r="K7" s="313"/>
      <c r="L7" s="313"/>
      <c r="M7" s="314"/>
      <c r="N7" s="312" t="s">
        <v>22</v>
      </c>
      <c r="O7" s="313"/>
      <c r="P7" s="313"/>
      <c r="Q7" s="314"/>
      <c r="R7" s="312" t="s">
        <v>41</v>
      </c>
      <c r="S7" s="313"/>
      <c r="T7" s="313"/>
      <c r="U7" s="314"/>
      <c r="V7" s="312" t="s">
        <v>23</v>
      </c>
      <c r="W7" s="313"/>
      <c r="X7" s="313"/>
      <c r="Y7" s="314"/>
      <c r="Z7" s="312" t="s">
        <v>40</v>
      </c>
      <c r="AA7" s="313"/>
      <c r="AB7" s="313"/>
      <c r="AC7" s="313"/>
      <c r="AD7" s="313"/>
      <c r="AE7" s="313"/>
      <c r="AF7" s="313"/>
      <c r="AG7" s="314"/>
      <c r="AH7" s="312" t="s">
        <v>24</v>
      </c>
      <c r="AI7" s="313"/>
      <c r="AJ7" s="313"/>
      <c r="AK7" s="314"/>
      <c r="AL7" s="312" t="s">
        <v>25</v>
      </c>
      <c r="AM7" s="313"/>
      <c r="AN7" s="313"/>
      <c r="AO7" s="314"/>
      <c r="AP7" s="312" t="s">
        <v>67</v>
      </c>
      <c r="AQ7" s="313"/>
      <c r="AR7" s="313"/>
      <c r="AS7" s="314"/>
    </row>
    <row r="8" spans="1:45" ht="15" thickBot="1" x14ac:dyDescent="0.35">
      <c r="A8" s="2"/>
      <c r="B8" s="312" t="s">
        <v>68</v>
      </c>
      <c r="C8" s="313"/>
      <c r="D8" s="313"/>
      <c r="E8" s="314"/>
      <c r="F8" s="312" t="s">
        <v>17</v>
      </c>
      <c r="G8" s="313"/>
      <c r="H8" s="313"/>
      <c r="I8" s="314"/>
      <c r="J8" s="312" t="s">
        <v>57</v>
      </c>
      <c r="K8" s="313"/>
      <c r="L8" s="313"/>
      <c r="M8" s="314"/>
      <c r="N8" s="312" t="s">
        <v>20</v>
      </c>
      <c r="O8" s="313"/>
      <c r="P8" s="313"/>
      <c r="Q8" s="314"/>
      <c r="R8" s="312" t="s">
        <v>35</v>
      </c>
      <c r="S8" s="313"/>
      <c r="T8" s="313"/>
      <c r="U8" s="314"/>
      <c r="V8" s="312" t="s">
        <v>103</v>
      </c>
      <c r="W8" s="313"/>
      <c r="X8" s="313"/>
      <c r="Y8" s="314"/>
      <c r="Z8" s="312" t="s">
        <v>84</v>
      </c>
      <c r="AA8" s="313"/>
      <c r="AB8" s="313"/>
      <c r="AC8" s="314"/>
      <c r="AD8" s="312" t="s">
        <v>18</v>
      </c>
      <c r="AE8" s="313"/>
      <c r="AF8" s="313"/>
      <c r="AG8" s="314"/>
      <c r="AH8" s="312" t="s">
        <v>101</v>
      </c>
      <c r="AI8" s="313"/>
      <c r="AJ8" s="313"/>
      <c r="AK8" s="314"/>
      <c r="AL8" s="312" t="s">
        <v>16</v>
      </c>
      <c r="AM8" s="313"/>
      <c r="AN8" s="313"/>
      <c r="AO8" s="314"/>
      <c r="AP8" s="312" t="s">
        <v>100</v>
      </c>
      <c r="AQ8" s="313"/>
      <c r="AR8" s="313"/>
      <c r="AS8" s="314"/>
    </row>
    <row r="9" spans="1:45" x14ac:dyDescent="0.3">
      <c r="A9" s="1"/>
      <c r="B9" s="12">
        <v>2020</v>
      </c>
      <c r="C9" s="13">
        <v>2021</v>
      </c>
      <c r="D9" s="13" t="s">
        <v>12</v>
      </c>
      <c r="E9" s="14" t="s">
        <v>13</v>
      </c>
      <c r="F9" s="12">
        <v>2020</v>
      </c>
      <c r="G9" s="13">
        <v>2021</v>
      </c>
      <c r="H9" s="13" t="s">
        <v>12</v>
      </c>
      <c r="I9" s="14" t="s">
        <v>13</v>
      </c>
      <c r="J9" s="276">
        <v>2020</v>
      </c>
      <c r="K9" s="277">
        <v>2021</v>
      </c>
      <c r="L9" s="277" t="s">
        <v>12</v>
      </c>
      <c r="M9" s="278" t="s">
        <v>13</v>
      </c>
      <c r="N9" s="12">
        <v>2020</v>
      </c>
      <c r="O9" s="13">
        <v>2021</v>
      </c>
      <c r="P9" s="13" t="s">
        <v>12</v>
      </c>
      <c r="Q9" s="14" t="s">
        <v>13</v>
      </c>
      <c r="R9" s="276">
        <v>2020</v>
      </c>
      <c r="S9" s="277">
        <v>2021</v>
      </c>
      <c r="T9" s="277" t="s">
        <v>12</v>
      </c>
      <c r="U9" s="278" t="s">
        <v>13</v>
      </c>
      <c r="V9" s="12">
        <v>2020</v>
      </c>
      <c r="W9" s="13">
        <v>2021</v>
      </c>
      <c r="X9" s="13" t="s">
        <v>12</v>
      </c>
      <c r="Y9" s="14" t="s">
        <v>13</v>
      </c>
      <c r="Z9" s="276">
        <v>2020</v>
      </c>
      <c r="AA9" s="277">
        <v>2021</v>
      </c>
      <c r="AB9" s="277" t="s">
        <v>12</v>
      </c>
      <c r="AC9" s="278" t="s">
        <v>13</v>
      </c>
      <c r="AD9" s="276">
        <v>2020</v>
      </c>
      <c r="AE9" s="277">
        <v>2021</v>
      </c>
      <c r="AF9" s="277" t="s">
        <v>12</v>
      </c>
      <c r="AG9" s="278" t="s">
        <v>13</v>
      </c>
      <c r="AH9" s="12">
        <v>2020</v>
      </c>
      <c r="AI9" s="13">
        <v>2021</v>
      </c>
      <c r="AJ9" s="13" t="s">
        <v>12</v>
      </c>
      <c r="AK9" s="14" t="s">
        <v>13</v>
      </c>
      <c r="AL9" s="12">
        <v>2020</v>
      </c>
      <c r="AM9" s="13">
        <v>2021</v>
      </c>
      <c r="AN9" s="13" t="s">
        <v>12</v>
      </c>
      <c r="AO9" s="14" t="s">
        <v>13</v>
      </c>
      <c r="AP9" s="12">
        <v>2020</v>
      </c>
      <c r="AQ9" s="13">
        <v>2021</v>
      </c>
      <c r="AR9" s="13" t="s">
        <v>12</v>
      </c>
      <c r="AS9" s="14" t="s">
        <v>13</v>
      </c>
    </row>
    <row r="10" spans="1:45" x14ac:dyDescent="0.3">
      <c r="A10" s="1" t="s">
        <v>0</v>
      </c>
      <c r="B10" s="23">
        <v>25</v>
      </c>
      <c r="C10" s="24">
        <v>24</v>
      </c>
      <c r="D10" s="24">
        <f>C10-B10</f>
        <v>-1</v>
      </c>
      <c r="E10" s="17">
        <f>(C10-B10)/B10</f>
        <v>-0.04</v>
      </c>
      <c r="F10" s="15">
        <v>0.83035714285714302</v>
      </c>
      <c r="G10" s="16">
        <v>0.77380952380952395</v>
      </c>
      <c r="H10" s="16">
        <f>G10-F10</f>
        <v>-5.6547619047619069E-2</v>
      </c>
      <c r="I10" s="17">
        <f>(G10-F10)/F10</f>
        <v>-6.8100358422939086E-2</v>
      </c>
      <c r="J10" s="279">
        <v>21</v>
      </c>
      <c r="K10" s="280">
        <v>20</v>
      </c>
      <c r="L10" s="280">
        <f>K10-J10</f>
        <v>-1</v>
      </c>
      <c r="M10" s="281">
        <f>(K10-J10)/J10</f>
        <v>-4.7619047619047616E-2</v>
      </c>
      <c r="N10" s="61">
        <v>53219559.246960655</v>
      </c>
      <c r="O10" s="62">
        <v>55541144.209708951</v>
      </c>
      <c r="P10" s="62">
        <f>O10-N10</f>
        <v>2321584.9627482966</v>
      </c>
      <c r="Q10" s="17">
        <f>(O10-N10)/N10</f>
        <v>4.3622776956404076E-2</v>
      </c>
      <c r="R10" s="288">
        <v>0</v>
      </c>
      <c r="S10" s="289">
        <v>0</v>
      </c>
      <c r="T10" s="290">
        <f>S10-R10</f>
        <v>0</v>
      </c>
      <c r="U10" s="281">
        <f>IFERROR((S10-R10)/ABS(R10),0)</f>
        <v>0</v>
      </c>
      <c r="V10" s="15">
        <v>85.505422985883044</v>
      </c>
      <c r="W10" s="16">
        <v>86.601248901928258</v>
      </c>
      <c r="X10" s="16">
        <f>W10-V10</f>
        <v>1.0958259160452144</v>
      </c>
      <c r="Y10" s="17">
        <f>(W10-V10)/V10</f>
        <v>1.2815864512197494E-2</v>
      </c>
      <c r="Z10" s="297">
        <v>28045.778739369638</v>
      </c>
      <c r="AA10" s="298">
        <v>29063.379131487123</v>
      </c>
      <c r="AB10" s="298">
        <f>AA10-Z10</f>
        <v>1017.6003921174852</v>
      </c>
      <c r="AC10" s="281">
        <f>(AA10-Z10)/Z10</f>
        <v>3.6283549177724028E-2</v>
      </c>
      <c r="AD10" s="297">
        <v>328</v>
      </c>
      <c r="AE10" s="298">
        <v>335.6</v>
      </c>
      <c r="AF10" s="298">
        <f>AE10-AD10</f>
        <v>7.6000000000000227</v>
      </c>
      <c r="AG10" s="281">
        <f>(AE10-AD10)/AD10</f>
        <v>2.3170731707317142E-2</v>
      </c>
      <c r="AH10" s="23">
        <v>26613.487874999999</v>
      </c>
      <c r="AI10" s="24">
        <v>25585.825281508001</v>
      </c>
      <c r="AJ10" s="24">
        <f>AI10-AH10</f>
        <v>-1027.6625934919975</v>
      </c>
      <c r="AK10" s="17">
        <f>(AI10-AH10)/AH10</f>
        <v>-3.861435217806819E-2</v>
      </c>
      <c r="AL10" s="15">
        <v>33.891071428250001</v>
      </c>
      <c r="AM10" s="16">
        <v>32.948809523249999</v>
      </c>
      <c r="AN10" s="16">
        <f>AM10-AL10</f>
        <v>-0.94226190500000229</v>
      </c>
      <c r="AO10" s="17">
        <f>(AM10-AL10)/AL10</f>
        <v>-2.7802659086622359E-2</v>
      </c>
      <c r="AP10" s="15">
        <v>30.726466492499998</v>
      </c>
      <c r="AQ10" s="16">
        <v>31.470912755000001</v>
      </c>
      <c r="AR10" s="16">
        <f>AQ10-AP10</f>
        <v>0.74444626250000212</v>
      </c>
      <c r="AS10" s="17">
        <f>(AQ10-AP10)/AP10</f>
        <v>2.422817679610877E-2</v>
      </c>
    </row>
    <row r="11" spans="1:45" x14ac:dyDescent="0.3">
      <c r="A11" s="1" t="s">
        <v>1</v>
      </c>
      <c r="B11" s="23">
        <v>28</v>
      </c>
      <c r="C11" s="24">
        <v>28</v>
      </c>
      <c r="D11" s="24">
        <f t="shared" ref="D11:D22" si="0">C11-B11</f>
        <v>0</v>
      </c>
      <c r="E11" s="17">
        <f t="shared" ref="E11:E22" si="1">(C11-B11)/B11</f>
        <v>0</v>
      </c>
      <c r="F11" s="15">
        <v>0.85714285714285698</v>
      </c>
      <c r="G11" s="16">
        <v>0.85714285714285698</v>
      </c>
      <c r="H11" s="16">
        <f t="shared" ref="H11:H22" si="2">G11-F11</f>
        <v>0</v>
      </c>
      <c r="I11" s="17">
        <f t="shared" ref="I11:I22" si="3">(G11-F11)/F11</f>
        <v>0</v>
      </c>
      <c r="J11" s="279">
        <v>24</v>
      </c>
      <c r="K11" s="280">
        <v>24</v>
      </c>
      <c r="L11" s="280">
        <f t="shared" ref="L11:L22" si="4">K11-J11</f>
        <v>0</v>
      </c>
      <c r="M11" s="281">
        <f t="shared" ref="M11:M22" si="5">(K11-J11)/J11</f>
        <v>0</v>
      </c>
      <c r="N11" s="61">
        <v>53219559.246960655</v>
      </c>
      <c r="O11" s="62">
        <v>55541144.209708951</v>
      </c>
      <c r="P11" s="62">
        <f t="shared" ref="P11:P22" si="6">O11-N11</f>
        <v>2321584.9627482966</v>
      </c>
      <c r="Q11" s="17">
        <f t="shared" ref="Q11:Q22" si="7">(O11-N11)/N11</f>
        <v>4.3622776956404076E-2</v>
      </c>
      <c r="R11" s="288">
        <v>5.8139534883721034E-3</v>
      </c>
      <c r="S11" s="289">
        <v>1.8850141376061114E-3</v>
      </c>
      <c r="T11" s="290">
        <f t="shared" ref="T11:T22" si="8">S11-R11</f>
        <v>-3.928939350765992E-3</v>
      </c>
      <c r="U11" s="281">
        <f t="shared" ref="U11:U22" si="9">IFERROR((S11-R11)/ABS(R11),0)</f>
        <v>-0.6757775683317494</v>
      </c>
      <c r="V11" s="15">
        <v>85.974501147918417</v>
      </c>
      <c r="W11" s="16">
        <v>87.862363191731731</v>
      </c>
      <c r="X11" s="16">
        <f t="shared" ref="X11:X22" si="10">W11-V11</f>
        <v>1.887862043813314</v>
      </c>
      <c r="Y11" s="17">
        <f t="shared" ref="Y11:Y22" si="11">(W11-V11)/V11</f>
        <v>2.1958394856694347E-2</v>
      </c>
      <c r="Z11" s="297">
        <v>28199.636376517239</v>
      </c>
      <c r="AA11" s="298">
        <v>29486.609087145171</v>
      </c>
      <c r="AB11" s="298">
        <f t="shared" ref="AB11:AB22" si="12">AA11-Z11</f>
        <v>1286.9727106279315</v>
      </c>
      <c r="AC11" s="281">
        <f t="shared" ref="AC11:AC22" si="13">(AA11-Z11)/Z11</f>
        <v>4.5637918639959335E-2</v>
      </c>
      <c r="AD11" s="297">
        <v>328</v>
      </c>
      <c r="AE11" s="298">
        <v>335.6</v>
      </c>
      <c r="AF11" s="298">
        <f t="shared" ref="AF11:AF22" si="14">AE11-AD11</f>
        <v>7.6000000000000227</v>
      </c>
      <c r="AG11" s="281">
        <f t="shared" ref="AG11:AG22" si="15">(AE11-AD11)/AD11</f>
        <v>2.3170731707317142E-2</v>
      </c>
      <c r="AH11" s="23">
        <v>25820.057471819</v>
      </c>
      <c r="AI11" s="24">
        <v>25316.534139013798</v>
      </c>
      <c r="AJ11" s="24">
        <f t="shared" ref="AJ11:AJ22" si="16">AI11-AH11</f>
        <v>-503.52333280520179</v>
      </c>
      <c r="AK11" s="17">
        <f t="shared" ref="AK11:AK22" si="17">(AI11-AH11)/AH11</f>
        <v>-1.9501247561310289E-2</v>
      </c>
      <c r="AL11" s="15">
        <v>33.089285713999999</v>
      </c>
      <c r="AM11" s="16">
        <v>33.446428570999998</v>
      </c>
      <c r="AN11" s="16">
        <f t="shared" ref="AN11:AN22" si="18">AM11-AL11</f>
        <v>0.35714285699999948</v>
      </c>
      <c r="AO11" s="17">
        <f t="shared" ref="AO11:AO22" si="19">(AM11-AL11)/AL11</f>
        <v>1.0793308144723511E-2</v>
      </c>
      <c r="AP11" s="15">
        <v>30.926132602500001</v>
      </c>
      <c r="AQ11" s="16">
        <v>31.744990274999999</v>
      </c>
      <c r="AR11" s="16">
        <f t="shared" ref="AR11:AR22" si="20">AQ11-AP11</f>
        <v>0.8188576724999983</v>
      </c>
      <c r="AS11" s="17">
        <f t="shared" ref="AS11:AS22" si="21">(AQ11-AP11)/AP11</f>
        <v>2.6477855573632365E-2</v>
      </c>
    </row>
    <row r="12" spans="1:45" x14ac:dyDescent="0.3">
      <c r="A12" s="1" t="s">
        <v>2</v>
      </c>
      <c r="B12" s="23">
        <v>35</v>
      </c>
      <c r="C12" s="24">
        <v>35</v>
      </c>
      <c r="D12" s="24">
        <f t="shared" si="0"/>
        <v>0</v>
      </c>
      <c r="E12" s="17">
        <f t="shared" si="1"/>
        <v>0</v>
      </c>
      <c r="F12" s="15">
        <v>0.85714285714285698</v>
      </c>
      <c r="G12" s="16">
        <v>0.8</v>
      </c>
      <c r="H12" s="16">
        <f t="shared" si="2"/>
        <v>-5.714285714285694E-2</v>
      </c>
      <c r="I12" s="17">
        <f t="shared" si="3"/>
        <v>-6.6666666666666444E-2</v>
      </c>
      <c r="J12" s="279">
        <v>30</v>
      </c>
      <c r="K12" s="280">
        <v>30</v>
      </c>
      <c r="L12" s="280">
        <f t="shared" si="4"/>
        <v>0</v>
      </c>
      <c r="M12" s="281">
        <f t="shared" si="5"/>
        <v>0</v>
      </c>
      <c r="N12" s="61">
        <v>53219559.246960655</v>
      </c>
      <c r="O12" s="62">
        <v>55541144.209708951</v>
      </c>
      <c r="P12" s="62">
        <f t="shared" si="6"/>
        <v>2321584.9627482966</v>
      </c>
      <c r="Q12" s="17">
        <f t="shared" si="7"/>
        <v>4.3622776956404076E-2</v>
      </c>
      <c r="R12" s="288">
        <v>9.6339113680166122E-4</v>
      </c>
      <c r="S12" s="289">
        <v>1.8814675446849893E-3</v>
      </c>
      <c r="T12" s="290">
        <f t="shared" si="8"/>
        <v>9.1807640788332812E-4</v>
      </c>
      <c r="U12" s="281">
        <f t="shared" si="9"/>
        <v>0.95296331138277612</v>
      </c>
      <c r="V12" s="15">
        <v>86.591483652993119</v>
      </c>
      <c r="W12" s="16">
        <v>87.120614150594449</v>
      </c>
      <c r="X12" s="16">
        <f t="shared" si="10"/>
        <v>0.52913049760132935</v>
      </c>
      <c r="Y12" s="17">
        <f t="shared" si="11"/>
        <v>6.1106528642212435E-3</v>
      </c>
      <c r="Z12" s="297">
        <v>28402.006638181741</v>
      </c>
      <c r="AA12" s="298">
        <v>29237.678108939501</v>
      </c>
      <c r="AB12" s="298">
        <f t="shared" si="12"/>
        <v>835.67147075775938</v>
      </c>
      <c r="AC12" s="281">
        <f t="shared" si="13"/>
        <v>2.9422972869611933E-2</v>
      </c>
      <c r="AD12" s="297">
        <v>328</v>
      </c>
      <c r="AE12" s="298">
        <v>335.6</v>
      </c>
      <c r="AF12" s="298">
        <f t="shared" si="14"/>
        <v>7.6000000000000227</v>
      </c>
      <c r="AG12" s="281">
        <f t="shared" si="15"/>
        <v>2.3170731707317142E-2</v>
      </c>
      <c r="AH12" s="23">
        <v>26130.939821460899</v>
      </c>
      <c r="AI12" s="24">
        <v>25384.7333110863</v>
      </c>
      <c r="AJ12" s="24">
        <f t="shared" si="16"/>
        <v>-746.20651037459902</v>
      </c>
      <c r="AK12" s="17">
        <f t="shared" si="17"/>
        <v>-2.8556435990172546E-2</v>
      </c>
      <c r="AL12" s="15">
        <v>30.565714285199999</v>
      </c>
      <c r="AM12" s="16">
        <v>33.9857142854</v>
      </c>
      <c r="AN12" s="16">
        <f t="shared" si="18"/>
        <v>3.4200000002000017</v>
      </c>
      <c r="AO12" s="17">
        <f t="shared" si="19"/>
        <v>0.11189007291925041</v>
      </c>
      <c r="AP12" s="15">
        <v>28.206274698000001</v>
      </c>
      <c r="AQ12" s="16">
        <v>30.783296016000001</v>
      </c>
      <c r="AR12" s="16">
        <f t="shared" si="20"/>
        <v>2.5770213179999999</v>
      </c>
      <c r="AS12" s="17">
        <f t="shared" si="21"/>
        <v>9.1363405681599161E-2</v>
      </c>
    </row>
    <row r="13" spans="1:45" x14ac:dyDescent="0.3">
      <c r="A13" s="1" t="s">
        <v>3</v>
      </c>
      <c r="B13" s="23">
        <v>28</v>
      </c>
      <c r="C13" s="24">
        <v>28</v>
      </c>
      <c r="D13" s="24">
        <f t="shared" si="0"/>
        <v>0</v>
      </c>
      <c r="E13" s="17">
        <f t="shared" si="1"/>
        <v>0</v>
      </c>
      <c r="F13" s="15">
        <v>0.78571428571428603</v>
      </c>
      <c r="G13" s="16">
        <v>0.78571428571428603</v>
      </c>
      <c r="H13" s="16">
        <f t="shared" si="2"/>
        <v>0</v>
      </c>
      <c r="I13" s="17">
        <f t="shared" si="3"/>
        <v>0</v>
      </c>
      <c r="J13" s="279">
        <v>23</v>
      </c>
      <c r="K13" s="280">
        <v>22</v>
      </c>
      <c r="L13" s="280">
        <f t="shared" si="4"/>
        <v>-1</v>
      </c>
      <c r="M13" s="281">
        <f t="shared" si="5"/>
        <v>-4.3478260869565216E-2</v>
      </c>
      <c r="N13" s="61">
        <v>50621581.791364625</v>
      </c>
      <c r="O13" s="62">
        <v>47354063.159518763</v>
      </c>
      <c r="P13" s="62">
        <f t="shared" si="6"/>
        <v>-3267518.6318458617</v>
      </c>
      <c r="Q13" s="17">
        <f t="shared" si="7"/>
        <v>-6.4547936200667233E-2</v>
      </c>
      <c r="R13" s="288">
        <v>2.887391722810273E-3</v>
      </c>
      <c r="S13" s="289">
        <v>-1.877934272300541E-3</v>
      </c>
      <c r="T13" s="290">
        <f t="shared" si="8"/>
        <v>-4.765325995110814E-3</v>
      </c>
      <c r="U13" s="281">
        <f t="shared" si="9"/>
        <v>-1.6503912363067814</v>
      </c>
      <c r="V13" s="15">
        <v>85.732625503852887</v>
      </c>
      <c r="W13" s="16">
        <v>84.075061833208892</v>
      </c>
      <c r="X13" s="16">
        <f t="shared" si="10"/>
        <v>-1.6575636706439951</v>
      </c>
      <c r="Y13" s="17">
        <f t="shared" si="11"/>
        <v>-1.9334106017428604E-2</v>
      </c>
      <c r="Z13" s="297">
        <v>28120.301165263747</v>
      </c>
      <c r="AA13" s="298">
        <v>28215.590751224907</v>
      </c>
      <c r="AB13" s="298">
        <f t="shared" si="12"/>
        <v>95.289585961159901</v>
      </c>
      <c r="AC13" s="281">
        <f t="shared" si="13"/>
        <v>3.3886403065579028E-3</v>
      </c>
      <c r="AD13" s="297">
        <v>328</v>
      </c>
      <c r="AE13" s="298">
        <v>335.6</v>
      </c>
      <c r="AF13" s="298">
        <f t="shared" si="14"/>
        <v>7.6000000000000227</v>
      </c>
      <c r="AG13" s="281">
        <f t="shared" si="15"/>
        <v>2.3170731707317142E-2</v>
      </c>
      <c r="AH13" s="23">
        <v>25668.6145008073</v>
      </c>
      <c r="AI13" s="24">
        <v>24060.730075355299</v>
      </c>
      <c r="AJ13" s="24">
        <f t="shared" si="16"/>
        <v>-1607.8844254520009</v>
      </c>
      <c r="AK13" s="17">
        <f t="shared" si="17"/>
        <v>-6.264009401058368E-2</v>
      </c>
      <c r="AL13" s="15">
        <v>29.285714285499999</v>
      </c>
      <c r="AM13" s="16">
        <v>29.696428570750001</v>
      </c>
      <c r="AN13" s="16">
        <f t="shared" si="18"/>
        <v>0.41071428525000186</v>
      </c>
      <c r="AO13" s="17">
        <f t="shared" si="19"/>
        <v>1.4024390228151462E-2</v>
      </c>
      <c r="AP13" s="15">
        <v>26.548912207499999</v>
      </c>
      <c r="AQ13" s="16">
        <v>26.364061732500002</v>
      </c>
      <c r="AR13" s="16">
        <f t="shared" si="20"/>
        <v>-0.18485047499999752</v>
      </c>
      <c r="AS13" s="17">
        <f t="shared" si="21"/>
        <v>-6.9626383768664445E-3</v>
      </c>
    </row>
    <row r="14" spans="1:45" x14ac:dyDescent="0.3">
      <c r="A14" s="1" t="s">
        <v>4</v>
      </c>
      <c r="B14" s="23">
        <v>28</v>
      </c>
      <c r="C14" s="24">
        <v>28</v>
      </c>
      <c r="D14" s="24">
        <f t="shared" si="0"/>
        <v>0</v>
      </c>
      <c r="E14" s="17">
        <f t="shared" si="1"/>
        <v>0</v>
      </c>
      <c r="F14" s="15">
        <v>0.82142857142857095</v>
      </c>
      <c r="G14" s="16">
        <v>0.78571428571428603</v>
      </c>
      <c r="H14" s="16">
        <f t="shared" si="2"/>
        <v>-3.5714285714284921E-2</v>
      </c>
      <c r="I14" s="17">
        <f t="shared" si="3"/>
        <v>-4.3478260869564279E-2</v>
      </c>
      <c r="J14" s="279">
        <v>22</v>
      </c>
      <c r="K14" s="280">
        <v>22</v>
      </c>
      <c r="L14" s="280">
        <f t="shared" si="4"/>
        <v>0</v>
      </c>
      <c r="M14" s="281">
        <f t="shared" si="5"/>
        <v>0</v>
      </c>
      <c r="N14" s="61">
        <v>50621581.791364625</v>
      </c>
      <c r="O14" s="62">
        <v>47354063.159518763</v>
      </c>
      <c r="P14" s="62">
        <f t="shared" si="6"/>
        <v>-3267518.6318458617</v>
      </c>
      <c r="Q14" s="17">
        <f t="shared" si="7"/>
        <v>-6.4547936200667233E-2</v>
      </c>
      <c r="R14" s="288">
        <v>7.6775431861804133E-3</v>
      </c>
      <c r="S14" s="289">
        <v>-5.6444026340545239E-3</v>
      </c>
      <c r="T14" s="290">
        <f t="shared" si="8"/>
        <v>-1.3321945820234937E-2</v>
      </c>
      <c r="U14" s="281">
        <f t="shared" si="9"/>
        <v>-1.7351834430856026</v>
      </c>
      <c r="V14" s="15">
        <v>87.067903133865315</v>
      </c>
      <c r="W14" s="16">
        <v>84.959967935710026</v>
      </c>
      <c r="X14" s="16">
        <f t="shared" si="10"/>
        <v>-2.107935198155289</v>
      </c>
      <c r="Y14" s="17">
        <f t="shared" si="11"/>
        <v>-2.4210244214959181E-2</v>
      </c>
      <c r="Z14" s="297">
        <v>28558.272227907823</v>
      </c>
      <c r="AA14" s="298">
        <v>28512.565239224285</v>
      </c>
      <c r="AB14" s="298">
        <f t="shared" si="12"/>
        <v>-45.706988683537929</v>
      </c>
      <c r="AC14" s="281">
        <f t="shared" si="13"/>
        <v>-1.6004815809155281E-3</v>
      </c>
      <c r="AD14" s="297">
        <v>328</v>
      </c>
      <c r="AE14" s="298">
        <v>335.6</v>
      </c>
      <c r="AF14" s="298">
        <f t="shared" si="14"/>
        <v>7.6000000000000227</v>
      </c>
      <c r="AG14" s="281">
        <f t="shared" si="15"/>
        <v>2.3170731707317142E-2</v>
      </c>
      <c r="AH14" s="23">
        <v>25253.539234994802</v>
      </c>
      <c r="AI14" s="24">
        <v>24870.378234373398</v>
      </c>
      <c r="AJ14" s="24">
        <f t="shared" si="16"/>
        <v>-383.16100062140322</v>
      </c>
      <c r="AK14" s="17">
        <f t="shared" si="17"/>
        <v>-1.5172566389840608E-2</v>
      </c>
      <c r="AL14" s="15">
        <v>25.082142856499999</v>
      </c>
      <c r="AM14" s="16">
        <v>28.553571428249999</v>
      </c>
      <c r="AN14" s="16">
        <f t="shared" si="18"/>
        <v>3.4714285717499997</v>
      </c>
      <c r="AO14" s="17">
        <f t="shared" si="19"/>
        <v>0.13840239215647335</v>
      </c>
      <c r="AP14" s="15">
        <v>21.863471244999999</v>
      </c>
      <c r="AQ14" s="16">
        <v>23.355679117499999</v>
      </c>
      <c r="AR14" s="16">
        <f t="shared" si="20"/>
        <v>1.4922078724999999</v>
      </c>
      <c r="AS14" s="17">
        <f t="shared" si="21"/>
        <v>6.825118736994959E-2</v>
      </c>
    </row>
    <row r="15" spans="1:45" x14ac:dyDescent="0.3">
      <c r="A15" s="1" t="s">
        <v>5</v>
      </c>
      <c r="B15" s="23">
        <v>35</v>
      </c>
      <c r="C15" s="24">
        <v>35</v>
      </c>
      <c r="D15" s="24">
        <f t="shared" si="0"/>
        <v>0</v>
      </c>
      <c r="E15" s="17">
        <f t="shared" si="1"/>
        <v>0</v>
      </c>
      <c r="F15" s="15">
        <v>0.85714285714285698</v>
      </c>
      <c r="G15" s="16">
        <v>0.85714285714285698</v>
      </c>
      <c r="H15" s="16">
        <f t="shared" si="2"/>
        <v>0</v>
      </c>
      <c r="I15" s="17">
        <f t="shared" si="3"/>
        <v>0</v>
      </c>
      <c r="J15" s="279">
        <v>29</v>
      </c>
      <c r="K15" s="280">
        <v>29</v>
      </c>
      <c r="L15" s="280">
        <f t="shared" si="4"/>
        <v>0</v>
      </c>
      <c r="M15" s="281">
        <f t="shared" si="5"/>
        <v>0</v>
      </c>
      <c r="N15" s="61">
        <v>50621581.791364625</v>
      </c>
      <c r="O15" s="62">
        <v>47354063.159518763</v>
      </c>
      <c r="P15" s="62">
        <f t="shared" si="6"/>
        <v>-3267518.6318458617</v>
      </c>
      <c r="Q15" s="17">
        <f t="shared" si="7"/>
        <v>-6.4547936200667233E-2</v>
      </c>
      <c r="R15" s="288">
        <v>-1.9047619047619646E-3</v>
      </c>
      <c r="S15" s="289">
        <v>-3.7842951750236553E-3</v>
      </c>
      <c r="T15" s="290">
        <f t="shared" si="8"/>
        <v>-1.8795332702616907E-3</v>
      </c>
      <c r="U15" s="281">
        <f t="shared" si="9"/>
        <v>-0.98675496688735664</v>
      </c>
      <c r="V15" s="15">
        <v>86.835543287323617</v>
      </c>
      <c r="W15" s="16">
        <v>84.880689340747352</v>
      </c>
      <c r="X15" s="16">
        <f t="shared" si="10"/>
        <v>-1.9548539465762644</v>
      </c>
      <c r="Y15" s="17">
        <f t="shared" si="11"/>
        <v>-2.2512140450460415E-2</v>
      </c>
      <c r="Z15" s="297">
        <v>28482.058198242146</v>
      </c>
      <c r="AA15" s="298">
        <v>28485.959342754813</v>
      </c>
      <c r="AB15" s="298">
        <f t="shared" si="12"/>
        <v>3.9011445126670878</v>
      </c>
      <c r="AC15" s="281">
        <f t="shared" si="13"/>
        <v>1.3696849032166706E-4</v>
      </c>
      <c r="AD15" s="297">
        <v>328</v>
      </c>
      <c r="AE15" s="298">
        <v>335.6</v>
      </c>
      <c r="AF15" s="298">
        <f t="shared" si="14"/>
        <v>7.6000000000000227</v>
      </c>
      <c r="AG15" s="281">
        <f t="shared" si="15"/>
        <v>2.3170731707317142E-2</v>
      </c>
      <c r="AH15" s="23">
        <v>25642.789997829801</v>
      </c>
      <c r="AI15" s="24">
        <v>26094.694325729</v>
      </c>
      <c r="AJ15" s="24">
        <f t="shared" si="16"/>
        <v>451.90432789919942</v>
      </c>
      <c r="AK15" s="17">
        <f t="shared" si="17"/>
        <v>1.7623056147066874E-2</v>
      </c>
      <c r="AL15" s="15">
        <v>25.817142857</v>
      </c>
      <c r="AM15" s="16">
        <v>25.597142856600001</v>
      </c>
      <c r="AN15" s="16">
        <f t="shared" si="18"/>
        <v>-0.2200000003999989</v>
      </c>
      <c r="AO15" s="17">
        <f t="shared" si="19"/>
        <v>-8.5214696923888548E-3</v>
      </c>
      <c r="AP15" s="15">
        <v>17.837220252000002</v>
      </c>
      <c r="AQ15" s="16">
        <v>20.273258802000001</v>
      </c>
      <c r="AR15" s="16">
        <f t="shared" si="20"/>
        <v>2.4360385499999992</v>
      </c>
      <c r="AS15" s="17">
        <f t="shared" si="21"/>
        <v>0.13657052587702717</v>
      </c>
    </row>
    <row r="16" spans="1:45" x14ac:dyDescent="0.3">
      <c r="A16" s="1" t="s">
        <v>6</v>
      </c>
      <c r="B16" s="23">
        <v>28</v>
      </c>
      <c r="C16" s="24">
        <v>28</v>
      </c>
      <c r="D16" s="24">
        <f t="shared" si="0"/>
        <v>0</v>
      </c>
      <c r="E16" s="17">
        <f t="shared" si="1"/>
        <v>0</v>
      </c>
      <c r="F16" s="15">
        <v>0.85714285714285698</v>
      </c>
      <c r="G16" s="16">
        <v>0.82142857142857095</v>
      </c>
      <c r="H16" s="16">
        <f t="shared" si="2"/>
        <v>-3.5714285714286031E-2</v>
      </c>
      <c r="I16" s="17">
        <f t="shared" si="3"/>
        <v>-4.1666666666667046E-2</v>
      </c>
      <c r="J16" s="279">
        <v>24</v>
      </c>
      <c r="K16" s="280">
        <v>24</v>
      </c>
      <c r="L16" s="280">
        <f t="shared" si="4"/>
        <v>0</v>
      </c>
      <c r="M16" s="281">
        <f t="shared" si="5"/>
        <v>0</v>
      </c>
      <c r="N16" s="61">
        <v>50576740.148042753</v>
      </c>
      <c r="O16" s="62">
        <v>47040116.361999996</v>
      </c>
      <c r="P16" s="62">
        <f t="shared" si="6"/>
        <v>-3536623.7860427573</v>
      </c>
      <c r="Q16" s="17">
        <f t="shared" si="7"/>
        <v>-6.9925894308149064E-2</v>
      </c>
      <c r="R16" s="288">
        <v>-9.5419847328237495E-4</v>
      </c>
      <c r="S16" s="289">
        <v>4.7483380816715215E-3</v>
      </c>
      <c r="T16" s="290">
        <f t="shared" si="8"/>
        <v>5.7025365549538964E-3</v>
      </c>
      <c r="U16" s="281">
        <f t="shared" si="9"/>
        <v>5.976258309592108</v>
      </c>
      <c r="V16" s="15">
        <v>85.245103132660816</v>
      </c>
      <c r="W16" s="16">
        <v>83.341016216368672</v>
      </c>
      <c r="X16" s="16">
        <f t="shared" si="10"/>
        <v>-1.9040869162921439</v>
      </c>
      <c r="Y16" s="17">
        <f t="shared" si="11"/>
        <v>-2.2336613439589023E-2</v>
      </c>
      <c r="Z16" s="297">
        <v>28446.290915368914</v>
      </c>
      <c r="AA16" s="298">
        <v>28485.959342754813</v>
      </c>
      <c r="AB16" s="298">
        <f t="shared" si="12"/>
        <v>39.668427385899122</v>
      </c>
      <c r="AC16" s="281">
        <f t="shared" si="13"/>
        <v>1.3945026261566892E-3</v>
      </c>
      <c r="AD16" s="297">
        <v>333.7</v>
      </c>
      <c r="AE16" s="298">
        <v>341.8</v>
      </c>
      <c r="AF16" s="298">
        <f t="shared" si="14"/>
        <v>8.1000000000000227</v>
      </c>
      <c r="AG16" s="281">
        <f t="shared" si="15"/>
        <v>2.4273299370692308E-2</v>
      </c>
      <c r="AH16" s="23">
        <v>25324.908690559801</v>
      </c>
      <c r="AI16" s="24">
        <v>25700.9173142322</v>
      </c>
      <c r="AJ16" s="24">
        <f t="shared" si="16"/>
        <v>376.00862367239824</v>
      </c>
      <c r="AK16" s="17">
        <f t="shared" si="17"/>
        <v>1.4847383193628669E-2</v>
      </c>
      <c r="AL16" s="15">
        <v>23.342857142500002</v>
      </c>
      <c r="AM16" s="16">
        <v>24.671428571250001</v>
      </c>
      <c r="AN16" s="16">
        <f t="shared" si="18"/>
        <v>1.3285714287499992</v>
      </c>
      <c r="AO16" s="17">
        <f t="shared" si="19"/>
        <v>5.6915544684163301E-2</v>
      </c>
      <c r="AP16" s="15">
        <v>16.7924351375</v>
      </c>
      <c r="AQ16" s="16">
        <v>14.834197359999999</v>
      </c>
      <c r="AR16" s="16">
        <f t="shared" si="20"/>
        <v>-1.9582377775000008</v>
      </c>
      <c r="AS16" s="17">
        <f t="shared" si="21"/>
        <v>-0.11661428264962985</v>
      </c>
    </row>
    <row r="17" spans="1:45" x14ac:dyDescent="0.3">
      <c r="A17" s="1" t="s">
        <v>7</v>
      </c>
      <c r="B17" s="23">
        <v>28</v>
      </c>
      <c r="C17" s="24">
        <v>28</v>
      </c>
      <c r="D17" s="24">
        <f t="shared" si="0"/>
        <v>0</v>
      </c>
      <c r="E17" s="17">
        <f t="shared" si="1"/>
        <v>0</v>
      </c>
      <c r="F17" s="15">
        <v>0.85714285714285698</v>
      </c>
      <c r="G17" s="16">
        <v>0.85714285714285698</v>
      </c>
      <c r="H17" s="16">
        <f t="shared" si="2"/>
        <v>0</v>
      </c>
      <c r="I17" s="17">
        <f t="shared" si="3"/>
        <v>0</v>
      </c>
      <c r="J17" s="279">
        <v>23</v>
      </c>
      <c r="K17" s="280">
        <v>24</v>
      </c>
      <c r="L17" s="280">
        <f t="shared" si="4"/>
        <v>1</v>
      </c>
      <c r="M17" s="281">
        <f t="shared" si="5"/>
        <v>4.3478260869565216E-2</v>
      </c>
      <c r="N17" s="61">
        <v>50576740.148042753</v>
      </c>
      <c r="O17" s="62">
        <v>47040116.361999996</v>
      </c>
      <c r="P17" s="62">
        <f t="shared" si="6"/>
        <v>-3536623.7860427573</v>
      </c>
      <c r="Q17" s="17">
        <f t="shared" si="7"/>
        <v>-6.9925894308149064E-2</v>
      </c>
      <c r="R17" s="288">
        <v>-9.551098376313627E-4</v>
      </c>
      <c r="S17" s="289">
        <v>4.725897920604849E-3</v>
      </c>
      <c r="T17" s="290">
        <f t="shared" si="8"/>
        <v>5.6810077582362117E-3</v>
      </c>
      <c r="U17" s="281">
        <f t="shared" si="9"/>
        <v>5.9480151228730955</v>
      </c>
      <c r="V17" s="15">
        <v>86.200851250086927</v>
      </c>
      <c r="W17" s="16">
        <v>83.341016216368672</v>
      </c>
      <c r="X17" s="16">
        <f t="shared" si="10"/>
        <v>-2.8598350337182552</v>
      </c>
      <c r="Y17" s="17">
        <f t="shared" si="11"/>
        <v>-3.3176412903641379E-2</v>
      </c>
      <c r="Z17" s="297">
        <v>28765.224062154008</v>
      </c>
      <c r="AA17" s="298">
        <v>28485.959342754813</v>
      </c>
      <c r="AB17" s="298">
        <f t="shared" si="12"/>
        <v>-279.26471939919429</v>
      </c>
      <c r="AC17" s="281">
        <f t="shared" si="13"/>
        <v>-9.7084145354048839E-3</v>
      </c>
      <c r="AD17" s="297">
        <v>333.7</v>
      </c>
      <c r="AE17" s="298">
        <v>341.8</v>
      </c>
      <c r="AF17" s="298">
        <f t="shared" si="14"/>
        <v>8.1000000000000227</v>
      </c>
      <c r="AG17" s="281">
        <f t="shared" si="15"/>
        <v>2.4273299370692308E-2</v>
      </c>
      <c r="AH17" s="23">
        <v>25436.4924977517</v>
      </c>
      <c r="AI17" s="24">
        <v>26968.901462733898</v>
      </c>
      <c r="AJ17" s="24">
        <f t="shared" si="16"/>
        <v>1532.4089649821981</v>
      </c>
      <c r="AK17" s="17">
        <f t="shared" si="17"/>
        <v>6.0244507575784902E-2</v>
      </c>
      <c r="AL17" s="15">
        <v>25.77857142825</v>
      </c>
      <c r="AM17" s="16">
        <v>25.835714285000002</v>
      </c>
      <c r="AN17" s="16">
        <f t="shared" si="18"/>
        <v>5.7142856750001414E-2</v>
      </c>
      <c r="AO17" s="17">
        <f t="shared" si="19"/>
        <v>2.2166805057079382E-3</v>
      </c>
      <c r="AP17" s="15">
        <v>18.092583757500002</v>
      </c>
      <c r="AQ17" s="16">
        <v>19.052669989999998</v>
      </c>
      <c r="AR17" s="16">
        <f t="shared" si="20"/>
        <v>0.96008623249999658</v>
      </c>
      <c r="AS17" s="17">
        <f t="shared" si="21"/>
        <v>5.3065181035959426E-2</v>
      </c>
    </row>
    <row r="18" spans="1:45" x14ac:dyDescent="0.3">
      <c r="A18" s="1" t="s">
        <v>8</v>
      </c>
      <c r="B18" s="23">
        <v>35</v>
      </c>
      <c r="C18" s="24">
        <v>35</v>
      </c>
      <c r="D18" s="24">
        <f t="shared" si="0"/>
        <v>0</v>
      </c>
      <c r="E18" s="17">
        <f t="shared" si="1"/>
        <v>0</v>
      </c>
      <c r="F18" s="15">
        <v>0.85714285714285698</v>
      </c>
      <c r="G18" s="16">
        <v>0.77142857142857102</v>
      </c>
      <c r="H18" s="16">
        <f t="shared" si="2"/>
        <v>-8.5714285714285965E-2</v>
      </c>
      <c r="I18" s="17">
        <f t="shared" si="3"/>
        <v>-0.10000000000000031</v>
      </c>
      <c r="J18" s="279">
        <v>30</v>
      </c>
      <c r="K18" s="280">
        <v>30</v>
      </c>
      <c r="L18" s="280">
        <f t="shared" si="4"/>
        <v>0</v>
      </c>
      <c r="M18" s="281">
        <f t="shared" si="5"/>
        <v>0</v>
      </c>
      <c r="N18" s="61">
        <v>50576740.148042753</v>
      </c>
      <c r="O18" s="62">
        <v>47040116.361999996</v>
      </c>
      <c r="P18" s="62">
        <f t="shared" si="6"/>
        <v>-3536623.7860427573</v>
      </c>
      <c r="Q18" s="17">
        <f t="shared" si="7"/>
        <v>-6.9925894308149064E-2</v>
      </c>
      <c r="R18" s="288">
        <v>2.8680688336522042E-3</v>
      </c>
      <c r="S18" s="289">
        <v>2.8222013170271509E-3</v>
      </c>
      <c r="T18" s="290">
        <f t="shared" si="8"/>
        <v>-4.5867516625053284E-5</v>
      </c>
      <c r="U18" s="281">
        <f t="shared" si="9"/>
        <v>-1.599247412993415E-2</v>
      </c>
      <c r="V18" s="15">
        <v>83.893470775002882</v>
      </c>
      <c r="W18" s="16">
        <v>83.341016216368672</v>
      </c>
      <c r="X18" s="16">
        <f t="shared" si="10"/>
        <v>-0.55245455863421</v>
      </c>
      <c r="Y18" s="17">
        <f t="shared" si="11"/>
        <v>-6.5851913567369158E-3</v>
      </c>
      <c r="Z18" s="297">
        <v>27995.251197618461</v>
      </c>
      <c r="AA18" s="298">
        <v>28485.959342754813</v>
      </c>
      <c r="AB18" s="298">
        <f t="shared" si="12"/>
        <v>490.70814513635196</v>
      </c>
      <c r="AC18" s="281">
        <f t="shared" si="13"/>
        <v>1.752826369274001E-2</v>
      </c>
      <c r="AD18" s="297">
        <v>333.7</v>
      </c>
      <c r="AE18" s="298">
        <v>341.8</v>
      </c>
      <c r="AF18" s="298">
        <f t="shared" si="14"/>
        <v>8.1000000000000227</v>
      </c>
      <c r="AG18" s="281">
        <f t="shared" si="15"/>
        <v>2.4273299370692308E-2</v>
      </c>
      <c r="AH18" s="23">
        <v>25525.1169064116</v>
      </c>
      <c r="AI18" s="24">
        <v>27049.808167122097</v>
      </c>
      <c r="AJ18" s="24">
        <f t="shared" si="16"/>
        <v>1524.6912607104969</v>
      </c>
      <c r="AK18" s="17">
        <f t="shared" si="17"/>
        <v>5.9732978552098734E-2</v>
      </c>
      <c r="AL18" s="15">
        <v>29.788571428200001</v>
      </c>
      <c r="AM18" s="16">
        <v>30.779999999400001</v>
      </c>
      <c r="AN18" s="16">
        <f t="shared" si="18"/>
        <v>0.99142857120000016</v>
      </c>
      <c r="AO18" s="17">
        <f t="shared" si="19"/>
        <v>3.3282179160207821E-2</v>
      </c>
      <c r="AP18" s="15">
        <v>20.036474510000001</v>
      </c>
      <c r="AQ18" s="16">
        <v>20.864757116</v>
      </c>
      <c r="AR18" s="16">
        <f t="shared" si="20"/>
        <v>0.82828260599999837</v>
      </c>
      <c r="AS18" s="17">
        <f t="shared" si="21"/>
        <v>4.1338739786114118E-2</v>
      </c>
    </row>
    <row r="19" spans="1:45" x14ac:dyDescent="0.3">
      <c r="A19" s="1" t="s">
        <v>9</v>
      </c>
      <c r="B19" s="23">
        <v>28</v>
      </c>
      <c r="C19" s="24">
        <v>28</v>
      </c>
      <c r="D19" s="24">
        <f t="shared" si="0"/>
        <v>0</v>
      </c>
      <c r="E19" s="17">
        <f t="shared" si="1"/>
        <v>0</v>
      </c>
      <c r="F19" s="15">
        <v>0.85714285714285698</v>
      </c>
      <c r="G19" s="16">
        <v>0.85714285714285698</v>
      </c>
      <c r="H19" s="16">
        <f t="shared" si="2"/>
        <v>0</v>
      </c>
      <c r="I19" s="17">
        <f t="shared" si="3"/>
        <v>0</v>
      </c>
      <c r="J19" s="279">
        <v>24</v>
      </c>
      <c r="K19" s="280">
        <v>24</v>
      </c>
      <c r="L19" s="280">
        <f t="shared" si="4"/>
        <v>0</v>
      </c>
      <c r="M19" s="281">
        <f t="shared" si="5"/>
        <v>0</v>
      </c>
      <c r="N19" s="61">
        <v>55147169.339514479</v>
      </c>
      <c r="O19" s="62">
        <v>52936263.685949989</v>
      </c>
      <c r="P19" s="62">
        <f t="shared" si="6"/>
        <v>-2210905.6535644904</v>
      </c>
      <c r="Q19" s="17">
        <f t="shared" si="7"/>
        <v>-4.0091008841324424E-2</v>
      </c>
      <c r="R19" s="288">
        <v>3.8131553860818457E-3</v>
      </c>
      <c r="S19" s="289">
        <v>4.6904315196998336E-3</v>
      </c>
      <c r="T19" s="290">
        <f t="shared" si="8"/>
        <v>8.7727613361798795E-4</v>
      </c>
      <c r="U19" s="281">
        <f t="shared" si="9"/>
        <v>0.23006566604132561</v>
      </c>
      <c r="V19" s="15">
        <v>81.142599521930705</v>
      </c>
      <c r="W19" s="16">
        <v>83.341016216368672</v>
      </c>
      <c r="X19" s="16">
        <f t="shared" si="10"/>
        <v>2.1984166944379666</v>
      </c>
      <c r="Y19" s="17">
        <f t="shared" si="11"/>
        <v>2.7093249506306396E-2</v>
      </c>
      <c r="Z19" s="297">
        <v>27077.285460468276</v>
      </c>
      <c r="AA19" s="298">
        <v>28485.959342754813</v>
      </c>
      <c r="AB19" s="298">
        <f t="shared" si="12"/>
        <v>1408.6738822865373</v>
      </c>
      <c r="AC19" s="281">
        <f t="shared" si="13"/>
        <v>5.2024191433190127E-2</v>
      </c>
      <c r="AD19" s="297">
        <v>333.7</v>
      </c>
      <c r="AE19" s="298">
        <v>341.8</v>
      </c>
      <c r="AF19" s="298">
        <f t="shared" si="14"/>
        <v>8.1000000000000227</v>
      </c>
      <c r="AG19" s="281">
        <f t="shared" si="15"/>
        <v>2.4273299370692308E-2</v>
      </c>
      <c r="AH19" s="23">
        <v>25462.139377956999</v>
      </c>
      <c r="AI19" s="24">
        <v>27185.057207957703</v>
      </c>
      <c r="AJ19" s="24">
        <f t="shared" si="16"/>
        <v>1722.9178300007043</v>
      </c>
      <c r="AK19" s="17">
        <f t="shared" si="17"/>
        <v>6.7665870664908201E-2</v>
      </c>
      <c r="AL19" s="15">
        <v>31.232142856749999</v>
      </c>
      <c r="AM19" s="16">
        <v>34.985714285500002</v>
      </c>
      <c r="AN19" s="16">
        <f t="shared" si="18"/>
        <v>3.7535714287500035</v>
      </c>
      <c r="AO19" s="17">
        <f t="shared" si="19"/>
        <v>0.12018296169962506</v>
      </c>
      <c r="AP19" s="15">
        <v>24.820115272500001</v>
      </c>
      <c r="AQ19" s="16">
        <v>25.516777367500001</v>
      </c>
      <c r="AR19" s="16">
        <f t="shared" si="20"/>
        <v>0.69666209500000065</v>
      </c>
      <c r="AS19" s="17">
        <f t="shared" si="21"/>
        <v>2.8068447199029851E-2</v>
      </c>
    </row>
    <row r="20" spans="1:45" x14ac:dyDescent="0.3">
      <c r="A20" s="1" t="s">
        <v>10</v>
      </c>
      <c r="B20" s="23">
        <v>28</v>
      </c>
      <c r="C20" s="24">
        <v>28</v>
      </c>
      <c r="D20" s="24">
        <f t="shared" si="0"/>
        <v>0</v>
      </c>
      <c r="E20" s="17">
        <f t="shared" si="1"/>
        <v>0</v>
      </c>
      <c r="F20" s="15">
        <v>0.78571428571428603</v>
      </c>
      <c r="G20" s="16">
        <v>0.82142857142857095</v>
      </c>
      <c r="H20" s="16">
        <f t="shared" si="2"/>
        <v>3.5714285714284921E-2</v>
      </c>
      <c r="I20" s="17">
        <f t="shared" si="3"/>
        <v>4.5454545454544429E-2</v>
      </c>
      <c r="J20" s="279">
        <v>24</v>
      </c>
      <c r="K20" s="280">
        <v>24</v>
      </c>
      <c r="L20" s="280">
        <f t="shared" si="4"/>
        <v>0</v>
      </c>
      <c r="M20" s="281">
        <f t="shared" si="5"/>
        <v>0</v>
      </c>
      <c r="N20" s="61">
        <v>55147169.339514479</v>
      </c>
      <c r="O20" s="62">
        <v>52936263.685949989</v>
      </c>
      <c r="P20" s="62">
        <f t="shared" si="6"/>
        <v>-2210905.6535644904</v>
      </c>
      <c r="Q20" s="17">
        <f t="shared" si="7"/>
        <v>-4.0091008841324424E-2</v>
      </c>
      <c r="R20" s="288">
        <v>1.8993352326686086E-3</v>
      </c>
      <c r="S20" s="289">
        <v>3.8281979458452131E-3</v>
      </c>
      <c r="T20" s="290">
        <f t="shared" si="8"/>
        <v>1.9288627131766045E-3</v>
      </c>
      <c r="U20" s="281">
        <f t="shared" si="9"/>
        <v>1.0155462184874595</v>
      </c>
      <c r="V20" s="15">
        <v>83.148841517885714</v>
      </c>
      <c r="W20" s="16">
        <v>84.17442637853236</v>
      </c>
      <c r="X20" s="16">
        <f t="shared" si="10"/>
        <v>1.0255848606466458</v>
      </c>
      <c r="Y20" s="17">
        <f t="shared" si="11"/>
        <v>1.2334325312590646E-2</v>
      </c>
      <c r="Z20" s="297">
        <v>27746.768414518461</v>
      </c>
      <c r="AA20" s="298">
        <v>28770.818936182361</v>
      </c>
      <c r="AB20" s="298">
        <f t="shared" si="12"/>
        <v>1024.0505216638994</v>
      </c>
      <c r="AC20" s="281">
        <f t="shared" si="13"/>
        <v>3.6907019454130961E-2</v>
      </c>
      <c r="AD20" s="297">
        <v>333.7</v>
      </c>
      <c r="AE20" s="298">
        <v>341.8</v>
      </c>
      <c r="AF20" s="298">
        <f t="shared" si="14"/>
        <v>8.1000000000000227</v>
      </c>
      <c r="AG20" s="281">
        <f t="shared" si="15"/>
        <v>2.4273299370692308E-2</v>
      </c>
      <c r="AH20" s="23">
        <v>25544.224335380099</v>
      </c>
      <c r="AI20" s="24">
        <v>27293.797436789533</v>
      </c>
      <c r="AJ20" s="24">
        <f t="shared" si="16"/>
        <v>1749.5731014094345</v>
      </c>
      <c r="AK20" s="17">
        <f t="shared" si="17"/>
        <v>6.8491925158447001E-2</v>
      </c>
      <c r="AL20" s="15">
        <v>35.189285714</v>
      </c>
      <c r="AM20" s="16">
        <v>32.535714285250002</v>
      </c>
      <c r="AN20" s="16">
        <f t="shared" si="18"/>
        <v>-2.6535714287499985</v>
      </c>
      <c r="AO20" s="17">
        <f t="shared" si="19"/>
        <v>-7.5408505029537429E-2</v>
      </c>
      <c r="AP20" s="15">
        <v>27.9213897775</v>
      </c>
      <c r="AQ20" s="16">
        <v>27.950078722499999</v>
      </c>
      <c r="AR20" s="16">
        <f t="shared" si="20"/>
        <v>2.8688944999998967E-2</v>
      </c>
      <c r="AS20" s="17">
        <f t="shared" si="21"/>
        <v>1.027489864530937E-3</v>
      </c>
    </row>
    <row r="21" spans="1:45" ht="15" thickBot="1" x14ac:dyDescent="0.35">
      <c r="A21" s="245" t="s">
        <v>11</v>
      </c>
      <c r="B21" s="187">
        <v>39</v>
      </c>
      <c r="C21" s="188">
        <v>41</v>
      </c>
      <c r="D21" s="188">
        <f t="shared" si="0"/>
        <v>2</v>
      </c>
      <c r="E21" s="189">
        <f t="shared" si="1"/>
        <v>5.128205128205128E-2</v>
      </c>
      <c r="F21" s="190">
        <v>0.831168831168831</v>
      </c>
      <c r="G21" s="147">
        <v>0.83956043956044002</v>
      </c>
      <c r="H21" s="147">
        <f t="shared" si="2"/>
        <v>8.3916083916090178E-3</v>
      </c>
      <c r="I21" s="189">
        <f t="shared" si="3"/>
        <v>1.0096153846154601E-2</v>
      </c>
      <c r="J21" s="282">
        <v>32</v>
      </c>
      <c r="K21" s="283">
        <v>33</v>
      </c>
      <c r="L21" s="283">
        <f t="shared" si="4"/>
        <v>1</v>
      </c>
      <c r="M21" s="284">
        <f t="shared" si="5"/>
        <v>3.125E-2</v>
      </c>
      <c r="N21" s="219">
        <v>55147169.339514479</v>
      </c>
      <c r="O21" s="220">
        <v>52936263.685949989</v>
      </c>
      <c r="P21" s="220">
        <f t="shared" si="6"/>
        <v>-2210905.6535644904</v>
      </c>
      <c r="Q21" s="189">
        <f t="shared" si="7"/>
        <v>-4.0091008841324424E-2</v>
      </c>
      <c r="R21" s="291">
        <v>5.687203791469031E-3</v>
      </c>
      <c r="S21" s="292">
        <v>1.9533066691470591E-3</v>
      </c>
      <c r="T21" s="293">
        <f t="shared" si="8"/>
        <v>-3.7338971223219719E-3</v>
      </c>
      <c r="U21" s="284">
        <f t="shared" si="9"/>
        <v>-0.65654357734163227</v>
      </c>
      <c r="V21" s="190">
        <v>86.507912301733242</v>
      </c>
      <c r="W21" s="147">
        <v>85.94208933248153</v>
      </c>
      <c r="X21" s="147">
        <f t="shared" si="10"/>
        <v>-0.56582296925171249</v>
      </c>
      <c r="Y21" s="189">
        <f t="shared" si="11"/>
        <v>-6.5407077132801856E-3</v>
      </c>
      <c r="Z21" s="299">
        <v>28867.69033508838</v>
      </c>
      <c r="AA21" s="300">
        <v>29375.006133842187</v>
      </c>
      <c r="AB21" s="300">
        <f t="shared" si="12"/>
        <v>507.31579875380703</v>
      </c>
      <c r="AC21" s="284">
        <f t="shared" si="13"/>
        <v>1.7573827100991517E-2</v>
      </c>
      <c r="AD21" s="299">
        <v>333.7</v>
      </c>
      <c r="AE21" s="300">
        <v>341.8</v>
      </c>
      <c r="AF21" s="300">
        <f t="shared" si="14"/>
        <v>8.1000000000000227</v>
      </c>
      <c r="AG21" s="284">
        <f t="shared" si="15"/>
        <v>2.4273299370692308E-2</v>
      </c>
      <c r="AH21" s="187">
        <v>25558.1472927717</v>
      </c>
      <c r="AI21" s="188">
        <v>27348.385031663111</v>
      </c>
      <c r="AJ21" s="188">
        <f t="shared" si="16"/>
        <v>1790.2377388914101</v>
      </c>
      <c r="AK21" s="189">
        <f t="shared" si="17"/>
        <v>7.0045677348362465E-2</v>
      </c>
      <c r="AL21" s="190">
        <v>32.672207791799998</v>
      </c>
      <c r="AM21" s="147">
        <v>32.8665934064</v>
      </c>
      <c r="AN21" s="147">
        <f t="shared" si="18"/>
        <v>0.19438561460000159</v>
      </c>
      <c r="AO21" s="189">
        <f t="shared" si="19"/>
        <v>5.9495708352096145E-3</v>
      </c>
      <c r="AP21" s="190">
        <v>30.695088972000001</v>
      </c>
      <c r="AQ21" s="147">
        <v>29.210975754</v>
      </c>
      <c r="AR21" s="147">
        <f t="shared" si="20"/>
        <v>-1.484113218000001</v>
      </c>
      <c r="AS21" s="189">
        <f t="shared" si="21"/>
        <v>-4.835018459642864E-2</v>
      </c>
    </row>
    <row r="22" spans="1:45" ht="15" thickBot="1" x14ac:dyDescent="0.35">
      <c r="A22" s="246" t="s">
        <v>15</v>
      </c>
      <c r="B22" s="198">
        <f>SUM(B10:B21)</f>
        <v>365</v>
      </c>
      <c r="C22" s="199">
        <f>SUM(C10:C21)</f>
        <v>366</v>
      </c>
      <c r="D22" s="199">
        <f t="shared" si="0"/>
        <v>1</v>
      </c>
      <c r="E22" s="200">
        <f t="shared" si="1"/>
        <v>2.7397260273972603E-3</v>
      </c>
      <c r="F22" s="201">
        <f>(4*SUM(F10:F11,F13:F14,F16:F17,F19:F20)+5*SUM(F12,F15,F18,F21))/52</f>
        <v>0.83884865134865128</v>
      </c>
      <c r="G22" s="202">
        <f>(4*SUM(G10:G11,G13:G14,G16:G17,G19:G20)+5*SUM(G12,G15,G18,G21))/52</f>
        <v>0.81882220343758783</v>
      </c>
      <c r="H22" s="202">
        <f t="shared" si="2"/>
        <v>-2.002644791106345E-2</v>
      </c>
      <c r="I22" s="200">
        <f t="shared" si="3"/>
        <v>-2.3873732024085763E-2</v>
      </c>
      <c r="J22" s="285">
        <f>SUM(J10:J21)</f>
        <v>306</v>
      </c>
      <c r="K22" s="286">
        <f>SUM(K10:K21)</f>
        <v>306</v>
      </c>
      <c r="L22" s="286">
        <f t="shared" si="4"/>
        <v>0</v>
      </c>
      <c r="M22" s="287">
        <f t="shared" si="5"/>
        <v>0</v>
      </c>
      <c r="N22" s="222">
        <f>(4*SUM(N10:N11,N13:N14,N16:N17,N19:N20)+5*SUM(N12,N15,N18,N21))/52</f>
        <v>52391262.631470628</v>
      </c>
      <c r="O22" s="223">
        <f>(4*SUM(O10:O11,O13:O14,O16:O17,O19:O20)+5*SUM(O12,O15,O18,O21))/52</f>
        <v>50717896.854294419</v>
      </c>
      <c r="P22" s="223">
        <f t="shared" si="6"/>
        <v>-1673365.7771762088</v>
      </c>
      <c r="Q22" s="200">
        <f t="shared" si="7"/>
        <v>-3.1939787153956539E-2</v>
      </c>
      <c r="R22" s="303">
        <f>PRODUCT((1+R10),(1+R11),(1+R12),(1+R13),(1+R14),(1+R15),(1+R16),(1+R17),(1+R18),(1+R19),(1+R20),(1+R21))-1</f>
        <v>2.8100775193798277E-2</v>
      </c>
      <c r="S22" s="304">
        <f>PRODUCT((1+S10),(1+S11),(1+S12),(1+S13),(1+S14),(1+S15),(1+S16),(1+S17),(1+S18),(1+S19),(1+S20),(1+S21))-1</f>
        <v>1.5268614514609036E-2</v>
      </c>
      <c r="T22" s="296">
        <f t="shared" si="8"/>
        <v>-1.2832160679189242E-2</v>
      </c>
      <c r="U22" s="287">
        <f t="shared" si="9"/>
        <v>-0.45664792485942685</v>
      </c>
      <c r="V22" s="201">
        <f>(4*SUM(V10:V11,V13:V14,V16:V17,V19:V20)+5*SUM(V12,V15,V18,V21))/52</f>
        <v>85.369489285799986</v>
      </c>
      <c r="W22" s="202">
        <f>(4*SUM(W10:W11,W13:W14,W16:W17,W19:W20)+5*SUM(W12,W15,W18,W21))/52</f>
        <v>84.946279091573643</v>
      </c>
      <c r="X22" s="202">
        <f t="shared" si="10"/>
        <v>-0.42321019422634265</v>
      </c>
      <c r="Y22" s="200">
        <f t="shared" si="11"/>
        <v>-4.9573940030204411E-3</v>
      </c>
      <c r="Z22" s="301">
        <f>(4*SUM(Z10:Z11,Z13:Z14,Z16:Z17,Z19:Z20)+5*SUM(Z12,Z15,Z18,Z21))/52</f>
        <v>28241.793486383194</v>
      </c>
      <c r="AA22" s="302">
        <f>(4*SUM(AA10:AA11,AA13:AA14,AA16:AA17,AA19:AA20)+5*SUM(AA12,AA15,AA18,AA21))/52</f>
        <v>28768.276525684032</v>
      </c>
      <c r="AB22" s="302">
        <f t="shared" si="12"/>
        <v>526.48303930083785</v>
      </c>
      <c r="AC22" s="287">
        <f t="shared" si="13"/>
        <v>1.8641983185475886E-2</v>
      </c>
      <c r="AD22" s="301">
        <f>(4*SUM(AD10:AD11,AD13:AD14,AD16:AD17,AD19:AD20)+5*SUM(AD12,AD15,AD18,AD21))/52</f>
        <v>330.84999999999997</v>
      </c>
      <c r="AE22" s="302">
        <f>(4*SUM(AE10:AE11,AE13:AE14,AE16:AE17,AE19:AE20)+5*SUM(AE12,AE15,AE18,AE21))/52</f>
        <v>338.70000000000005</v>
      </c>
      <c r="AF22" s="302">
        <f t="shared" si="14"/>
        <v>7.8500000000000796</v>
      </c>
      <c r="AG22" s="287">
        <f t="shared" si="15"/>
        <v>2.3726764394741064E-2</v>
      </c>
      <c r="AH22" s="198">
        <f>(4*SUM(AH10:AH11,AH13:AH14,AH16:AH17,AH19:AH20)+5*SUM(AH12,AH15,AH18,AH21))/52</f>
        <v>25668.823577489398</v>
      </c>
      <c r="AI22" s="199">
        <f>(4*SUM(AI10:AI11,AI13:AI14,AI16:AI17,AI19:AI20)+5*SUM(AI12,AI15,AI18,AI21))/52</f>
        <v>26102.243630497269</v>
      </c>
      <c r="AJ22" s="199">
        <f t="shared" si="16"/>
        <v>433.42005300787059</v>
      </c>
      <c r="AK22" s="200">
        <f t="shared" si="17"/>
        <v>1.6885076626104667E-2</v>
      </c>
      <c r="AL22" s="201">
        <f>(4*SUM(AL10:AL11,AL13:AL14,AL16:AL17,AL19:AL20)+5*SUM(AL12,AL15,AL18,AL21))/52</f>
        <v>29.649662836807689</v>
      </c>
      <c r="AM22" s="202">
        <f>(4*SUM(AM10:AM11,AM13:AM14,AM16:AM17,AM19:AM20)+5*SUM(AM12,AM15,AM18,AM21))/52</f>
        <v>30.51620174653846</v>
      </c>
      <c r="AN22" s="202">
        <f t="shared" si="18"/>
        <v>0.86653890973077097</v>
      </c>
      <c r="AO22" s="200">
        <f t="shared" si="19"/>
        <v>2.9225927947316557E-2</v>
      </c>
      <c r="AP22" s="201">
        <f>(4*SUM(AP10:AP11,AP13:AP14,AP16:AP17,AP19:AP20)+5*SUM(AP12,AP15,AP18,AP21))/52</f>
        <v>24.512333040961536</v>
      </c>
      <c r="AQ22" s="202">
        <f>(4*SUM(AQ10:AQ11,AQ13:AQ14,AQ16:AQ17,AQ19:AQ20)+5*SUM(AQ12,AQ15,AQ18,AQ21))/52</f>
        <v>25.131132840769229</v>
      </c>
      <c r="AR22" s="202">
        <f t="shared" si="20"/>
        <v>0.61879979980769306</v>
      </c>
      <c r="AS22" s="213">
        <f t="shared" si="21"/>
        <v>2.5244426908431872E-2</v>
      </c>
    </row>
    <row r="23" spans="1:45" ht="15" thickBot="1" x14ac:dyDescent="0.35">
      <c r="A23" s="185" t="str">
        <f>"Paraguay - "&amp;'[2]Andina DT'!A3:I3</f>
        <v>Paraguay - w43</v>
      </c>
      <c r="B23" s="33"/>
      <c r="C23" s="33"/>
      <c r="D23" s="33"/>
      <c r="E23" s="33"/>
      <c r="F23" s="33"/>
      <c r="G23" s="33"/>
      <c r="J23" s="186"/>
      <c r="K23" s="186"/>
    </row>
    <row r="24" spans="1:45" ht="15" thickBot="1" x14ac:dyDescent="0.35">
      <c r="A24" s="30"/>
      <c r="B24" s="312" t="s">
        <v>21</v>
      </c>
      <c r="C24" s="313"/>
      <c r="D24" s="313"/>
      <c r="E24" s="313"/>
      <c r="F24" s="313"/>
      <c r="G24" s="313"/>
      <c r="H24" s="313"/>
      <c r="I24" s="313"/>
      <c r="J24" s="313"/>
      <c r="K24" s="313"/>
      <c r="L24" s="313"/>
      <c r="M24" s="314"/>
      <c r="N24" s="312" t="s">
        <v>22</v>
      </c>
      <c r="O24" s="313"/>
      <c r="P24" s="313"/>
      <c r="Q24" s="314"/>
      <c r="R24" s="312" t="s">
        <v>41</v>
      </c>
      <c r="S24" s="313"/>
      <c r="T24" s="313"/>
      <c r="U24" s="314"/>
      <c r="V24" s="312" t="s">
        <v>23</v>
      </c>
      <c r="W24" s="313"/>
      <c r="X24" s="313"/>
      <c r="Y24" s="314"/>
      <c r="Z24" s="312" t="s">
        <v>40</v>
      </c>
      <c r="AA24" s="313"/>
      <c r="AB24" s="313"/>
      <c r="AC24" s="313"/>
      <c r="AD24" s="313"/>
      <c r="AE24" s="313"/>
      <c r="AF24" s="313"/>
      <c r="AG24" s="314"/>
      <c r="AH24" s="312" t="s">
        <v>24</v>
      </c>
      <c r="AI24" s="313"/>
      <c r="AJ24" s="313"/>
      <c r="AK24" s="314"/>
      <c r="AL24" s="312" t="s">
        <v>25</v>
      </c>
      <c r="AM24" s="313"/>
      <c r="AN24" s="313"/>
      <c r="AO24" s="314"/>
      <c r="AP24" s="312" t="s">
        <v>67</v>
      </c>
      <c r="AQ24" s="313"/>
      <c r="AR24" s="313"/>
      <c r="AS24" s="314"/>
    </row>
    <row r="25" spans="1:45" ht="15" thickBot="1" x14ac:dyDescent="0.35">
      <c r="A25" s="2"/>
      <c r="B25" s="312" t="s">
        <v>68</v>
      </c>
      <c r="C25" s="313"/>
      <c r="D25" s="313"/>
      <c r="E25" s="314"/>
      <c r="F25" s="312" t="s">
        <v>17</v>
      </c>
      <c r="G25" s="313"/>
      <c r="H25" s="313"/>
      <c r="I25" s="314"/>
      <c r="J25" s="312" t="s">
        <v>57</v>
      </c>
      <c r="K25" s="313"/>
      <c r="L25" s="313"/>
      <c r="M25" s="314"/>
      <c r="N25" s="312" t="s">
        <v>20</v>
      </c>
      <c r="O25" s="313"/>
      <c r="P25" s="313"/>
      <c r="Q25" s="314"/>
      <c r="R25" s="312" t="s">
        <v>35</v>
      </c>
      <c r="S25" s="313"/>
      <c r="T25" s="313"/>
      <c r="U25" s="314"/>
      <c r="V25" s="312" t="s">
        <v>103</v>
      </c>
      <c r="W25" s="313"/>
      <c r="X25" s="313"/>
      <c r="Y25" s="314"/>
      <c r="Z25" s="312" t="s">
        <v>84</v>
      </c>
      <c r="AA25" s="313"/>
      <c r="AB25" s="313"/>
      <c r="AC25" s="314"/>
      <c r="AD25" s="312" t="s">
        <v>18</v>
      </c>
      <c r="AE25" s="313"/>
      <c r="AF25" s="313"/>
      <c r="AG25" s="314"/>
      <c r="AH25" s="312" t="s">
        <v>101</v>
      </c>
      <c r="AI25" s="313"/>
      <c r="AJ25" s="313"/>
      <c r="AK25" s="314"/>
      <c r="AL25" s="312" t="s">
        <v>16</v>
      </c>
      <c r="AM25" s="313"/>
      <c r="AN25" s="313"/>
      <c r="AO25" s="314"/>
      <c r="AP25" s="312" t="s">
        <v>100</v>
      </c>
      <c r="AQ25" s="313"/>
      <c r="AR25" s="313"/>
      <c r="AS25" s="314"/>
    </row>
    <row r="26" spans="1:45" x14ac:dyDescent="0.3">
      <c r="A26" s="1"/>
      <c r="B26" s="12">
        <v>2020</v>
      </c>
      <c r="C26" s="13">
        <v>2021</v>
      </c>
      <c r="D26" s="13" t="s">
        <v>12</v>
      </c>
      <c r="E26" s="14" t="s">
        <v>13</v>
      </c>
      <c r="F26" s="12">
        <v>2020</v>
      </c>
      <c r="G26" s="13">
        <v>2021</v>
      </c>
      <c r="H26" s="13" t="s">
        <v>12</v>
      </c>
      <c r="I26" s="14" t="s">
        <v>13</v>
      </c>
      <c r="J26" s="276">
        <v>2020</v>
      </c>
      <c r="K26" s="277">
        <v>2021</v>
      </c>
      <c r="L26" s="277" t="s">
        <v>12</v>
      </c>
      <c r="M26" s="278" t="s">
        <v>13</v>
      </c>
      <c r="N26" s="12">
        <v>2020</v>
      </c>
      <c r="O26" s="13">
        <v>2021</v>
      </c>
      <c r="P26" s="13" t="s">
        <v>12</v>
      </c>
      <c r="Q26" s="14" t="s">
        <v>13</v>
      </c>
      <c r="R26" s="276">
        <v>2020</v>
      </c>
      <c r="S26" s="277">
        <v>2021</v>
      </c>
      <c r="T26" s="277" t="s">
        <v>12</v>
      </c>
      <c r="U26" s="278" t="s">
        <v>13</v>
      </c>
      <c r="V26" s="12">
        <v>2020</v>
      </c>
      <c r="W26" s="13">
        <v>2021</v>
      </c>
      <c r="X26" s="13" t="s">
        <v>12</v>
      </c>
      <c r="Y26" s="14" t="s">
        <v>13</v>
      </c>
      <c r="Z26" s="276">
        <v>2020</v>
      </c>
      <c r="AA26" s="277">
        <v>2021</v>
      </c>
      <c r="AB26" s="277" t="s">
        <v>12</v>
      </c>
      <c r="AC26" s="278" t="s">
        <v>13</v>
      </c>
      <c r="AD26" s="276">
        <v>2020</v>
      </c>
      <c r="AE26" s="277">
        <v>2021</v>
      </c>
      <c r="AF26" s="277" t="s">
        <v>12</v>
      </c>
      <c r="AG26" s="278" t="s">
        <v>13</v>
      </c>
      <c r="AH26" s="12">
        <v>2020</v>
      </c>
      <c r="AI26" s="13">
        <v>2021</v>
      </c>
      <c r="AJ26" s="13" t="s">
        <v>12</v>
      </c>
      <c r="AK26" s="14" t="s">
        <v>13</v>
      </c>
      <c r="AL26" s="12">
        <v>2020</v>
      </c>
      <c r="AM26" s="13">
        <v>2021</v>
      </c>
      <c r="AN26" s="13" t="s">
        <v>12</v>
      </c>
      <c r="AO26" s="14" t="s">
        <v>13</v>
      </c>
      <c r="AP26" s="12">
        <v>2020</v>
      </c>
      <c r="AQ26" s="13">
        <v>2021</v>
      </c>
      <c r="AR26" s="13" t="s">
        <v>12</v>
      </c>
      <c r="AS26" s="14" t="s">
        <v>13</v>
      </c>
    </row>
    <row r="27" spans="1:45" x14ac:dyDescent="0.3">
      <c r="A27" s="1" t="s">
        <v>0</v>
      </c>
      <c r="B27" s="23">
        <v>25</v>
      </c>
      <c r="C27" s="24">
        <v>24</v>
      </c>
      <c r="D27" s="24">
        <f>C27-B27</f>
        <v>-1</v>
      </c>
      <c r="E27" s="17">
        <f>(C27-B27)/B27</f>
        <v>-0.04</v>
      </c>
      <c r="F27" s="15">
        <v>0.83035714285714302</v>
      </c>
      <c r="G27" s="16">
        <v>0.77380952380952395</v>
      </c>
      <c r="H27" s="16">
        <f>G27-F27</f>
        <v>-5.6547619047619069E-2</v>
      </c>
      <c r="I27" s="17">
        <f>(G27-F27)/F27</f>
        <v>-6.8100358422939086E-2</v>
      </c>
      <c r="J27" s="279">
        <v>21</v>
      </c>
      <c r="K27" s="280">
        <v>20</v>
      </c>
      <c r="L27" s="280">
        <f>K27-J27</f>
        <v>-1</v>
      </c>
      <c r="M27" s="281">
        <f>(K27-J27)/J27</f>
        <v>-4.7619047619047616E-2</v>
      </c>
      <c r="N27" s="61">
        <v>53219559.246960655</v>
      </c>
      <c r="O27" s="62">
        <v>55541144.209708951</v>
      </c>
      <c r="P27" s="62">
        <f>O27-N27</f>
        <v>2321584.9627482966</v>
      </c>
      <c r="Q27" s="17">
        <f>(O27-N27)/N27</f>
        <v>4.3622776956404076E-2</v>
      </c>
      <c r="R27" s="288">
        <v>0</v>
      </c>
      <c r="S27" s="289">
        <v>0</v>
      </c>
      <c r="T27" s="290">
        <f>S27-R27</f>
        <v>0</v>
      </c>
      <c r="U27" s="281">
        <f>IFERROR((S27-R27)/ABS(R27),0)</f>
        <v>0</v>
      </c>
      <c r="V27" s="15">
        <v>85.505422985883044</v>
      </c>
      <c r="W27" s="16">
        <v>86.601248901928258</v>
      </c>
      <c r="X27" s="16">
        <f>W27-V27</f>
        <v>1.0958259160452144</v>
      </c>
      <c r="Y27" s="17">
        <f>(W27-V27)/V27</f>
        <v>1.2815864512197494E-2</v>
      </c>
      <c r="Z27" s="297">
        <v>28045.778739369638</v>
      </c>
      <c r="AA27" s="298">
        <v>29063.379131487123</v>
      </c>
      <c r="AB27" s="298">
        <f>AA27-Z27</f>
        <v>1017.6003921174852</v>
      </c>
      <c r="AC27" s="281">
        <f>(AA27-Z27)/Z27</f>
        <v>3.6283549177724028E-2</v>
      </c>
      <c r="AD27" s="297">
        <v>328</v>
      </c>
      <c r="AE27" s="298">
        <v>335.6</v>
      </c>
      <c r="AF27" s="298">
        <f>AE27-AD27</f>
        <v>7.6000000000000227</v>
      </c>
      <c r="AG27" s="281">
        <f>(AE27-AD27)/AD27</f>
        <v>2.3170731707317142E-2</v>
      </c>
      <c r="AH27" s="23">
        <v>26613.487874999999</v>
      </c>
      <c r="AI27" s="24">
        <v>25585.825281508001</v>
      </c>
      <c r="AJ27" s="24">
        <f>AI27-AH27</f>
        <v>-1027.6625934919975</v>
      </c>
      <c r="AK27" s="17">
        <f>(AI27-AH27)/AH27</f>
        <v>-3.861435217806819E-2</v>
      </c>
      <c r="AL27" s="15">
        <v>33.891071428250001</v>
      </c>
      <c r="AM27" s="16">
        <v>32.948809523249999</v>
      </c>
      <c r="AN27" s="16">
        <f>AM27-AL27</f>
        <v>-0.94226190500000229</v>
      </c>
      <c r="AO27" s="17">
        <f>(AM27-AL27)/AL27</f>
        <v>-2.7802659086622359E-2</v>
      </c>
      <c r="AP27" s="15">
        <v>30.726466492499998</v>
      </c>
      <c r="AQ27" s="16">
        <v>31.470912755000001</v>
      </c>
      <c r="AR27" s="16">
        <f>AQ27-AP27</f>
        <v>0.74444626250000212</v>
      </c>
      <c r="AS27" s="17">
        <f>(AQ27-AP27)/AP27</f>
        <v>2.422817679610877E-2</v>
      </c>
    </row>
    <row r="28" spans="1:45" x14ac:dyDescent="0.3">
      <c r="A28" s="1" t="s">
        <v>1</v>
      </c>
      <c r="B28" s="23">
        <v>28</v>
      </c>
      <c r="C28" s="24">
        <v>28</v>
      </c>
      <c r="D28" s="24">
        <f t="shared" ref="D28:D38" si="22">C28-B28</f>
        <v>0</v>
      </c>
      <c r="E28" s="17">
        <f t="shared" ref="E28:E38" si="23">(C28-B28)/B28</f>
        <v>0</v>
      </c>
      <c r="F28" s="15">
        <v>0.85714285714285698</v>
      </c>
      <c r="G28" s="16">
        <v>0.85714285714285698</v>
      </c>
      <c r="H28" s="16">
        <f t="shared" ref="H28:H39" si="24">G28-F28</f>
        <v>0</v>
      </c>
      <c r="I28" s="17">
        <f t="shared" ref="I28:I39" si="25">(G28-F28)/F28</f>
        <v>0</v>
      </c>
      <c r="J28" s="279">
        <v>24</v>
      </c>
      <c r="K28" s="280">
        <v>24</v>
      </c>
      <c r="L28" s="280">
        <f t="shared" ref="L28:L38" si="26">K28-J28</f>
        <v>0</v>
      </c>
      <c r="M28" s="281">
        <f t="shared" ref="M28:M38" si="27">(K28-J28)/J28</f>
        <v>0</v>
      </c>
      <c r="N28" s="61">
        <v>53219559.246960655</v>
      </c>
      <c r="O28" s="62">
        <v>55541144.209708951</v>
      </c>
      <c r="P28" s="62">
        <f t="shared" ref="P28:P38" si="28">O28-N28</f>
        <v>2321584.9627482966</v>
      </c>
      <c r="Q28" s="17">
        <f t="shared" ref="Q28:Q38" si="29">(O28-N28)/N28</f>
        <v>4.3622776956404076E-2</v>
      </c>
      <c r="R28" s="288">
        <v>5.8139534883721034E-3</v>
      </c>
      <c r="S28" s="289">
        <v>1.8850141376061114E-3</v>
      </c>
      <c r="T28" s="290">
        <f t="shared" ref="T28:T38" si="30">S28-R28</f>
        <v>-3.928939350765992E-3</v>
      </c>
      <c r="U28" s="281">
        <f t="shared" ref="U28:U38" si="31">IFERROR((S28-R28)/ABS(R28),0)</f>
        <v>-0.6757775683317494</v>
      </c>
      <c r="V28" s="15">
        <v>85.974501147918417</v>
      </c>
      <c r="W28" s="16">
        <v>87.862363191731731</v>
      </c>
      <c r="X28" s="16">
        <f t="shared" ref="X28:X38" si="32">W28-V28</f>
        <v>1.887862043813314</v>
      </c>
      <c r="Y28" s="17">
        <f t="shared" ref="Y28:Y38" si="33">(W28-V28)/V28</f>
        <v>2.1958394856694347E-2</v>
      </c>
      <c r="Z28" s="297">
        <v>28199.636376517239</v>
      </c>
      <c r="AA28" s="298">
        <v>29486.609087145171</v>
      </c>
      <c r="AB28" s="298">
        <f t="shared" ref="AB28:AB38" si="34">AA28-Z28</f>
        <v>1286.9727106279315</v>
      </c>
      <c r="AC28" s="281">
        <f t="shared" ref="AC28:AC38" si="35">(AA28-Z28)/Z28</f>
        <v>4.5637918639959335E-2</v>
      </c>
      <c r="AD28" s="297">
        <v>328</v>
      </c>
      <c r="AE28" s="298">
        <v>335.6</v>
      </c>
      <c r="AF28" s="298">
        <f t="shared" ref="AF28:AF39" si="36">AE28-AD28</f>
        <v>7.6000000000000227</v>
      </c>
      <c r="AG28" s="281">
        <f t="shared" ref="AG28:AG39" si="37">(AE28-AD28)/AD28</f>
        <v>2.3170731707317142E-2</v>
      </c>
      <c r="AH28" s="23">
        <v>25820.057471819</v>
      </c>
      <c r="AI28" s="24">
        <v>25316.534139013798</v>
      </c>
      <c r="AJ28" s="24">
        <f t="shared" ref="AJ28:AJ38" si="38">AI28-AH28</f>
        <v>-503.52333280520179</v>
      </c>
      <c r="AK28" s="17">
        <f t="shared" ref="AK28:AK38" si="39">(AI28-AH28)/AH28</f>
        <v>-1.9501247561310289E-2</v>
      </c>
      <c r="AL28" s="15">
        <v>33.089285713999999</v>
      </c>
      <c r="AM28" s="16">
        <v>33.446428570999998</v>
      </c>
      <c r="AN28" s="16">
        <f t="shared" ref="AN28:AN38" si="40">AM28-AL28</f>
        <v>0.35714285699999948</v>
      </c>
      <c r="AO28" s="17">
        <f t="shared" ref="AO28:AO38" si="41">(AM28-AL28)/AL28</f>
        <v>1.0793308144723511E-2</v>
      </c>
      <c r="AP28" s="15">
        <v>30.926132602500001</v>
      </c>
      <c r="AQ28" s="16">
        <v>31.744990274999999</v>
      </c>
      <c r="AR28" s="16">
        <f t="shared" ref="AR28:AR38" si="42">AQ28-AP28</f>
        <v>0.8188576724999983</v>
      </c>
      <c r="AS28" s="17">
        <f t="shared" ref="AS28:AS38" si="43">(AQ28-AP28)/AP28</f>
        <v>2.6477855573632365E-2</v>
      </c>
    </row>
    <row r="29" spans="1:45" x14ac:dyDescent="0.3">
      <c r="A29" s="1" t="s">
        <v>2</v>
      </c>
      <c r="B29" s="23">
        <v>35</v>
      </c>
      <c r="C29" s="24">
        <v>35</v>
      </c>
      <c r="D29" s="24">
        <f t="shared" si="22"/>
        <v>0</v>
      </c>
      <c r="E29" s="17">
        <f t="shared" si="23"/>
        <v>0</v>
      </c>
      <c r="F29" s="15">
        <v>0.85714285714285698</v>
      </c>
      <c r="G29" s="16">
        <v>0.8</v>
      </c>
      <c r="H29" s="16">
        <f t="shared" si="24"/>
        <v>-5.714285714285694E-2</v>
      </c>
      <c r="I29" s="17">
        <f t="shared" si="25"/>
        <v>-6.6666666666666444E-2</v>
      </c>
      <c r="J29" s="279">
        <v>30</v>
      </c>
      <c r="K29" s="280">
        <v>30</v>
      </c>
      <c r="L29" s="280">
        <f t="shared" si="26"/>
        <v>0</v>
      </c>
      <c r="M29" s="281">
        <f t="shared" si="27"/>
        <v>0</v>
      </c>
      <c r="N29" s="61">
        <v>53219559.246960655</v>
      </c>
      <c r="O29" s="62">
        <v>55541144.209708951</v>
      </c>
      <c r="P29" s="62">
        <f t="shared" si="28"/>
        <v>2321584.9627482966</v>
      </c>
      <c r="Q29" s="17">
        <f t="shared" si="29"/>
        <v>4.3622776956404076E-2</v>
      </c>
      <c r="R29" s="288">
        <v>9.6339113680166122E-4</v>
      </c>
      <c r="S29" s="289">
        <v>1.8814675446849893E-3</v>
      </c>
      <c r="T29" s="290">
        <f t="shared" si="30"/>
        <v>9.1807640788332812E-4</v>
      </c>
      <c r="U29" s="281">
        <f t="shared" si="31"/>
        <v>0.95296331138277612</v>
      </c>
      <c r="V29" s="15">
        <v>86.591483652993119</v>
      </c>
      <c r="W29" s="16">
        <v>87.120614150594449</v>
      </c>
      <c r="X29" s="16">
        <f t="shared" si="32"/>
        <v>0.52913049760132935</v>
      </c>
      <c r="Y29" s="17">
        <f t="shared" si="33"/>
        <v>6.1106528642212435E-3</v>
      </c>
      <c r="Z29" s="297">
        <v>28402.006638181741</v>
      </c>
      <c r="AA29" s="298">
        <v>29237.678108939501</v>
      </c>
      <c r="AB29" s="298">
        <f t="shared" si="34"/>
        <v>835.67147075775938</v>
      </c>
      <c r="AC29" s="281">
        <f t="shared" si="35"/>
        <v>2.9422972869611933E-2</v>
      </c>
      <c r="AD29" s="297">
        <v>328</v>
      </c>
      <c r="AE29" s="298">
        <v>335.6</v>
      </c>
      <c r="AF29" s="298">
        <f t="shared" si="36"/>
        <v>7.6000000000000227</v>
      </c>
      <c r="AG29" s="281">
        <f t="shared" si="37"/>
        <v>2.3170731707317142E-2</v>
      </c>
      <c r="AH29" s="23">
        <v>26130.939821460899</v>
      </c>
      <c r="AI29" s="24">
        <v>25384.7333110863</v>
      </c>
      <c r="AJ29" s="24">
        <f t="shared" si="38"/>
        <v>-746.20651037459902</v>
      </c>
      <c r="AK29" s="17">
        <f t="shared" si="39"/>
        <v>-2.8556435990172546E-2</v>
      </c>
      <c r="AL29" s="15">
        <v>30.565714285199999</v>
      </c>
      <c r="AM29" s="16">
        <v>33.9857142854</v>
      </c>
      <c r="AN29" s="16">
        <f t="shared" si="40"/>
        <v>3.4200000002000017</v>
      </c>
      <c r="AO29" s="17">
        <f t="shared" si="41"/>
        <v>0.11189007291925041</v>
      </c>
      <c r="AP29" s="15">
        <v>28.206274698000001</v>
      </c>
      <c r="AQ29" s="16">
        <v>30.783296016000001</v>
      </c>
      <c r="AR29" s="16">
        <f t="shared" si="42"/>
        <v>2.5770213179999999</v>
      </c>
      <c r="AS29" s="17">
        <f t="shared" si="43"/>
        <v>9.1363405681599161E-2</v>
      </c>
    </row>
    <row r="30" spans="1:45" x14ac:dyDescent="0.3">
      <c r="A30" s="1" t="s">
        <v>3</v>
      </c>
      <c r="B30" s="23">
        <v>28</v>
      </c>
      <c r="C30" s="24">
        <v>28</v>
      </c>
      <c r="D30" s="24">
        <f t="shared" si="22"/>
        <v>0</v>
      </c>
      <c r="E30" s="17">
        <f t="shared" si="23"/>
        <v>0</v>
      </c>
      <c r="F30" s="15">
        <v>0.78571428571428603</v>
      </c>
      <c r="G30" s="16">
        <v>0.82142857142857095</v>
      </c>
      <c r="H30" s="16">
        <f t="shared" si="24"/>
        <v>3.5714285714284921E-2</v>
      </c>
      <c r="I30" s="17">
        <f t="shared" si="25"/>
        <v>4.5454545454544429E-2</v>
      </c>
      <c r="J30" s="279">
        <v>23</v>
      </c>
      <c r="K30" s="280">
        <v>23</v>
      </c>
      <c r="L30" s="280">
        <f t="shared" si="26"/>
        <v>0</v>
      </c>
      <c r="M30" s="281">
        <f t="shared" si="27"/>
        <v>0</v>
      </c>
      <c r="N30" s="61">
        <v>50621581.791364625</v>
      </c>
      <c r="O30" s="62">
        <v>47354063.159518763</v>
      </c>
      <c r="P30" s="62">
        <f t="shared" si="28"/>
        <v>-3267518.6318458617</v>
      </c>
      <c r="Q30" s="17">
        <f t="shared" si="29"/>
        <v>-6.4547936200667233E-2</v>
      </c>
      <c r="R30" s="288">
        <v>2.887391722810273E-3</v>
      </c>
      <c r="S30" s="289">
        <v>-1.877934272300541E-3</v>
      </c>
      <c r="T30" s="290">
        <f t="shared" si="30"/>
        <v>-4.765325995110814E-3</v>
      </c>
      <c r="U30" s="281">
        <f t="shared" si="31"/>
        <v>-1.6503912363067814</v>
      </c>
      <c r="V30" s="15">
        <v>85.732625503852887</v>
      </c>
      <c r="W30" s="16">
        <v>84.075061833208892</v>
      </c>
      <c r="X30" s="16">
        <f t="shared" si="32"/>
        <v>-1.6575636706439951</v>
      </c>
      <c r="Y30" s="17">
        <f t="shared" si="33"/>
        <v>-1.9334106017428604E-2</v>
      </c>
      <c r="Z30" s="297">
        <v>28120.301165263747</v>
      </c>
      <c r="AA30" s="298">
        <v>28215.590751224907</v>
      </c>
      <c r="AB30" s="298">
        <f t="shared" si="34"/>
        <v>95.289585961159901</v>
      </c>
      <c r="AC30" s="281">
        <f t="shared" si="35"/>
        <v>3.3886403065579028E-3</v>
      </c>
      <c r="AD30" s="297">
        <v>328</v>
      </c>
      <c r="AE30" s="298">
        <v>335.6</v>
      </c>
      <c r="AF30" s="298">
        <f t="shared" si="36"/>
        <v>7.6000000000000227</v>
      </c>
      <c r="AG30" s="281">
        <f t="shared" si="37"/>
        <v>2.3170731707317142E-2</v>
      </c>
      <c r="AH30" s="23">
        <v>25668.6145008073</v>
      </c>
      <c r="AI30" s="24">
        <v>24060.730075355299</v>
      </c>
      <c r="AJ30" s="24">
        <f t="shared" si="38"/>
        <v>-1607.8844254520009</v>
      </c>
      <c r="AK30" s="17">
        <f t="shared" si="39"/>
        <v>-6.264009401058368E-2</v>
      </c>
      <c r="AL30" s="15">
        <v>29.285714285499999</v>
      </c>
      <c r="AM30" s="16">
        <v>29.696428570750001</v>
      </c>
      <c r="AN30" s="16">
        <f t="shared" si="40"/>
        <v>0.41071428525000186</v>
      </c>
      <c r="AO30" s="17">
        <f t="shared" si="41"/>
        <v>1.4024390228151462E-2</v>
      </c>
      <c r="AP30" s="15">
        <v>26.548912207499999</v>
      </c>
      <c r="AQ30" s="16">
        <v>26.364061732500002</v>
      </c>
      <c r="AR30" s="16">
        <f t="shared" si="42"/>
        <v>-0.18485047499999752</v>
      </c>
      <c r="AS30" s="17">
        <f t="shared" si="43"/>
        <v>-6.9626383768664445E-3</v>
      </c>
    </row>
    <row r="31" spans="1:45" x14ac:dyDescent="0.3">
      <c r="A31" s="1" t="s">
        <v>4</v>
      </c>
      <c r="B31" s="23">
        <v>28</v>
      </c>
      <c r="C31" s="24">
        <v>28</v>
      </c>
      <c r="D31" s="24">
        <f t="shared" si="22"/>
        <v>0</v>
      </c>
      <c r="E31" s="17">
        <f t="shared" si="23"/>
        <v>0</v>
      </c>
      <c r="F31" s="15">
        <v>0.82142857142857095</v>
      </c>
      <c r="G31" s="16">
        <v>0.78571428571428603</v>
      </c>
      <c r="H31" s="16">
        <f t="shared" si="24"/>
        <v>-3.5714285714284921E-2</v>
      </c>
      <c r="I31" s="17">
        <f t="shared" si="25"/>
        <v>-4.3478260869564279E-2</v>
      </c>
      <c r="J31" s="279">
        <v>22</v>
      </c>
      <c r="K31" s="280">
        <v>22</v>
      </c>
      <c r="L31" s="280">
        <f t="shared" si="26"/>
        <v>0</v>
      </c>
      <c r="M31" s="281">
        <f t="shared" si="27"/>
        <v>0</v>
      </c>
      <c r="N31" s="61">
        <v>50621581.791364625</v>
      </c>
      <c r="O31" s="62">
        <v>47354063.159518763</v>
      </c>
      <c r="P31" s="62">
        <f t="shared" si="28"/>
        <v>-3267518.6318458617</v>
      </c>
      <c r="Q31" s="17">
        <f t="shared" si="29"/>
        <v>-6.4547936200667233E-2</v>
      </c>
      <c r="R31" s="288">
        <v>7.6775431861804133E-3</v>
      </c>
      <c r="S31" s="289">
        <v>-5.6444026340545239E-3</v>
      </c>
      <c r="T31" s="290">
        <f t="shared" si="30"/>
        <v>-1.3321945820234937E-2</v>
      </c>
      <c r="U31" s="281">
        <f t="shared" si="31"/>
        <v>-1.7351834430856026</v>
      </c>
      <c r="V31" s="15">
        <v>87.067903133865315</v>
      </c>
      <c r="W31" s="16">
        <v>84.959967935710026</v>
      </c>
      <c r="X31" s="16">
        <f t="shared" si="32"/>
        <v>-2.107935198155289</v>
      </c>
      <c r="Y31" s="17">
        <f t="shared" si="33"/>
        <v>-2.4210244214959181E-2</v>
      </c>
      <c r="Z31" s="297">
        <v>28558.272227907823</v>
      </c>
      <c r="AA31" s="298">
        <v>28512.565239224285</v>
      </c>
      <c r="AB31" s="298">
        <f t="shared" si="34"/>
        <v>-45.706988683537929</v>
      </c>
      <c r="AC31" s="281">
        <f t="shared" si="35"/>
        <v>-1.6004815809155281E-3</v>
      </c>
      <c r="AD31" s="297">
        <v>328</v>
      </c>
      <c r="AE31" s="298">
        <v>335.6</v>
      </c>
      <c r="AF31" s="298">
        <f t="shared" si="36"/>
        <v>7.6000000000000227</v>
      </c>
      <c r="AG31" s="281">
        <f t="shared" si="37"/>
        <v>2.3170731707317142E-2</v>
      </c>
      <c r="AH31" s="23">
        <v>25253.539234994802</v>
      </c>
      <c r="AI31" s="24">
        <v>24870.378234373398</v>
      </c>
      <c r="AJ31" s="24">
        <f t="shared" si="38"/>
        <v>-383.16100062140322</v>
      </c>
      <c r="AK31" s="17">
        <f t="shared" si="39"/>
        <v>-1.5172566389840608E-2</v>
      </c>
      <c r="AL31" s="15">
        <v>25.082142856499999</v>
      </c>
      <c r="AM31" s="16">
        <v>28.553571428249999</v>
      </c>
      <c r="AN31" s="16">
        <f t="shared" si="40"/>
        <v>3.4714285717499997</v>
      </c>
      <c r="AO31" s="17">
        <f t="shared" si="41"/>
        <v>0.13840239215647335</v>
      </c>
      <c r="AP31" s="15">
        <v>21.863471244999999</v>
      </c>
      <c r="AQ31" s="16">
        <v>23.355679117499999</v>
      </c>
      <c r="AR31" s="16">
        <f t="shared" si="42"/>
        <v>1.4922078724999999</v>
      </c>
      <c r="AS31" s="17">
        <f t="shared" si="43"/>
        <v>6.825118736994959E-2</v>
      </c>
    </row>
    <row r="32" spans="1:45" x14ac:dyDescent="0.3">
      <c r="A32" s="1" t="s">
        <v>5</v>
      </c>
      <c r="B32" s="23">
        <v>35</v>
      </c>
      <c r="C32" s="24">
        <v>35</v>
      </c>
      <c r="D32" s="24">
        <f t="shared" si="22"/>
        <v>0</v>
      </c>
      <c r="E32" s="17">
        <f t="shared" si="23"/>
        <v>0</v>
      </c>
      <c r="F32" s="15">
        <v>0.85714285714285698</v>
      </c>
      <c r="G32" s="16">
        <v>0.82857142857142896</v>
      </c>
      <c r="H32" s="16">
        <f t="shared" si="24"/>
        <v>-2.8571428571428026E-2</v>
      </c>
      <c r="I32" s="17">
        <f t="shared" si="25"/>
        <v>-3.3333333333332701E-2</v>
      </c>
      <c r="J32" s="279">
        <v>29</v>
      </c>
      <c r="K32" s="280">
        <v>29</v>
      </c>
      <c r="L32" s="280">
        <f t="shared" si="26"/>
        <v>0</v>
      </c>
      <c r="M32" s="281">
        <f t="shared" si="27"/>
        <v>0</v>
      </c>
      <c r="N32" s="61">
        <v>50621581.791364625</v>
      </c>
      <c r="O32" s="62">
        <v>47354063.159518763</v>
      </c>
      <c r="P32" s="62">
        <f t="shared" si="28"/>
        <v>-3267518.6318458617</v>
      </c>
      <c r="Q32" s="17">
        <f t="shared" si="29"/>
        <v>-6.4547936200667233E-2</v>
      </c>
      <c r="R32" s="288">
        <v>-1.9047619047619646E-3</v>
      </c>
      <c r="S32" s="289">
        <v>-3.7842951750236553E-3</v>
      </c>
      <c r="T32" s="290">
        <f t="shared" si="30"/>
        <v>-1.8795332702616907E-3</v>
      </c>
      <c r="U32" s="281">
        <f t="shared" si="31"/>
        <v>-0.98675496688735664</v>
      </c>
      <c r="V32" s="15">
        <v>86.835543287323617</v>
      </c>
      <c r="W32" s="16">
        <v>84.880689340747352</v>
      </c>
      <c r="X32" s="16">
        <f t="shared" si="32"/>
        <v>-1.9548539465762644</v>
      </c>
      <c r="Y32" s="17">
        <f t="shared" si="33"/>
        <v>-2.2512140450460415E-2</v>
      </c>
      <c r="Z32" s="297">
        <v>28482.058198242146</v>
      </c>
      <c r="AA32" s="298">
        <v>28485.959342754813</v>
      </c>
      <c r="AB32" s="298">
        <f t="shared" si="34"/>
        <v>3.9011445126670878</v>
      </c>
      <c r="AC32" s="281">
        <f t="shared" si="35"/>
        <v>1.3696849032166706E-4</v>
      </c>
      <c r="AD32" s="297">
        <v>328</v>
      </c>
      <c r="AE32" s="298">
        <v>335.6</v>
      </c>
      <c r="AF32" s="298">
        <f t="shared" si="36"/>
        <v>7.6000000000000227</v>
      </c>
      <c r="AG32" s="281">
        <f t="shared" si="37"/>
        <v>2.3170731707317142E-2</v>
      </c>
      <c r="AH32" s="23">
        <v>25642.789997829801</v>
      </c>
      <c r="AI32" s="24">
        <v>26094.694325729</v>
      </c>
      <c r="AJ32" s="24">
        <f t="shared" si="38"/>
        <v>451.90432789919942</v>
      </c>
      <c r="AK32" s="17">
        <f t="shared" si="39"/>
        <v>1.7623056147066874E-2</v>
      </c>
      <c r="AL32" s="15">
        <v>25.817142857</v>
      </c>
      <c r="AM32" s="16">
        <v>25.597142856600001</v>
      </c>
      <c r="AN32" s="16">
        <f t="shared" si="40"/>
        <v>-0.2200000003999989</v>
      </c>
      <c r="AO32" s="17">
        <f t="shared" si="41"/>
        <v>-8.5214696923888548E-3</v>
      </c>
      <c r="AP32" s="15">
        <v>17.837220252000002</v>
      </c>
      <c r="AQ32" s="16">
        <v>20.273258802000001</v>
      </c>
      <c r="AR32" s="16">
        <f t="shared" si="42"/>
        <v>2.4360385499999992</v>
      </c>
      <c r="AS32" s="17">
        <f t="shared" si="43"/>
        <v>0.13657052587702717</v>
      </c>
    </row>
    <row r="33" spans="1:45" x14ac:dyDescent="0.3">
      <c r="A33" s="1" t="s">
        <v>6</v>
      </c>
      <c r="B33" s="23">
        <v>28</v>
      </c>
      <c r="C33" s="24">
        <v>28</v>
      </c>
      <c r="D33" s="24">
        <f t="shared" si="22"/>
        <v>0</v>
      </c>
      <c r="E33" s="17">
        <f t="shared" si="23"/>
        <v>0</v>
      </c>
      <c r="F33" s="15">
        <v>0.85714285714285698</v>
      </c>
      <c r="G33" s="16">
        <v>0.82142857142857095</v>
      </c>
      <c r="H33" s="16">
        <f t="shared" si="24"/>
        <v>-3.5714285714286031E-2</v>
      </c>
      <c r="I33" s="17">
        <f t="shared" si="25"/>
        <v>-4.1666666666667046E-2</v>
      </c>
      <c r="J33" s="279">
        <v>24</v>
      </c>
      <c r="K33" s="280">
        <v>24</v>
      </c>
      <c r="L33" s="280">
        <f t="shared" si="26"/>
        <v>0</v>
      </c>
      <c r="M33" s="281">
        <f t="shared" si="27"/>
        <v>0</v>
      </c>
      <c r="N33" s="61">
        <v>50576740.148042753</v>
      </c>
      <c r="O33" s="62">
        <v>47040116.361999996</v>
      </c>
      <c r="P33" s="62">
        <f t="shared" si="28"/>
        <v>-3536623.7860427573</v>
      </c>
      <c r="Q33" s="17">
        <f t="shared" si="29"/>
        <v>-6.9925894308149064E-2</v>
      </c>
      <c r="R33" s="288">
        <v>-9.5419847328237495E-4</v>
      </c>
      <c r="S33" s="289">
        <v>4.7483380816715215E-3</v>
      </c>
      <c r="T33" s="290">
        <f t="shared" si="30"/>
        <v>5.7025365549538964E-3</v>
      </c>
      <c r="U33" s="281">
        <f t="shared" si="31"/>
        <v>5.976258309592108</v>
      </c>
      <c r="V33" s="15">
        <v>85.245103132660816</v>
      </c>
      <c r="W33" s="16">
        <v>83.341016216368672</v>
      </c>
      <c r="X33" s="16">
        <f t="shared" si="32"/>
        <v>-1.9040869162921439</v>
      </c>
      <c r="Y33" s="17">
        <f t="shared" si="33"/>
        <v>-2.2336613439589023E-2</v>
      </c>
      <c r="Z33" s="297">
        <v>28446.290915368914</v>
      </c>
      <c r="AA33" s="298">
        <v>28485.959342754813</v>
      </c>
      <c r="AB33" s="298">
        <f t="shared" si="34"/>
        <v>39.668427385899122</v>
      </c>
      <c r="AC33" s="281">
        <f t="shared" si="35"/>
        <v>1.3945026261566892E-3</v>
      </c>
      <c r="AD33" s="297">
        <v>333.7</v>
      </c>
      <c r="AE33" s="298">
        <v>341.8</v>
      </c>
      <c r="AF33" s="298">
        <f t="shared" si="36"/>
        <v>8.1000000000000227</v>
      </c>
      <c r="AG33" s="281">
        <f t="shared" si="37"/>
        <v>2.4273299370692308E-2</v>
      </c>
      <c r="AH33" s="23">
        <v>25324.908690559801</v>
      </c>
      <c r="AI33" s="24">
        <v>25700.9173142322</v>
      </c>
      <c r="AJ33" s="24">
        <f t="shared" si="38"/>
        <v>376.00862367239824</v>
      </c>
      <c r="AK33" s="17">
        <f t="shared" si="39"/>
        <v>1.4847383193628669E-2</v>
      </c>
      <c r="AL33" s="15">
        <v>23.342857142500002</v>
      </c>
      <c r="AM33" s="16">
        <v>24.671428571250001</v>
      </c>
      <c r="AN33" s="16">
        <f t="shared" si="40"/>
        <v>1.3285714287499992</v>
      </c>
      <c r="AO33" s="17">
        <f t="shared" si="41"/>
        <v>5.6915544684163301E-2</v>
      </c>
      <c r="AP33" s="15">
        <v>16.7924351375</v>
      </c>
      <c r="AQ33" s="16">
        <v>14.834197359999999</v>
      </c>
      <c r="AR33" s="16">
        <f t="shared" si="42"/>
        <v>-1.9582377775000008</v>
      </c>
      <c r="AS33" s="17">
        <f t="shared" si="43"/>
        <v>-0.11661428264962985</v>
      </c>
    </row>
    <row r="34" spans="1:45" x14ac:dyDescent="0.3">
      <c r="A34" s="1" t="s">
        <v>7</v>
      </c>
      <c r="B34" s="23">
        <v>28</v>
      </c>
      <c r="C34" s="24">
        <v>28</v>
      </c>
      <c r="D34" s="24">
        <f t="shared" si="22"/>
        <v>0</v>
      </c>
      <c r="E34" s="17">
        <f t="shared" si="23"/>
        <v>0</v>
      </c>
      <c r="F34" s="15">
        <v>0.85714285714285698</v>
      </c>
      <c r="G34" s="16">
        <v>0.85714285714285698</v>
      </c>
      <c r="H34" s="16">
        <f t="shared" si="24"/>
        <v>0</v>
      </c>
      <c r="I34" s="17">
        <f t="shared" si="25"/>
        <v>0</v>
      </c>
      <c r="J34" s="279">
        <v>23</v>
      </c>
      <c r="K34" s="280">
        <v>23</v>
      </c>
      <c r="L34" s="280">
        <f t="shared" si="26"/>
        <v>0</v>
      </c>
      <c r="M34" s="281">
        <f t="shared" si="27"/>
        <v>0</v>
      </c>
      <c r="N34" s="61">
        <v>50576740.148042753</v>
      </c>
      <c r="O34" s="62">
        <v>47040116.361999996</v>
      </c>
      <c r="P34" s="62">
        <f t="shared" si="28"/>
        <v>-3536623.7860427573</v>
      </c>
      <c r="Q34" s="17">
        <f t="shared" si="29"/>
        <v>-6.9925894308149064E-2</v>
      </c>
      <c r="R34" s="288">
        <v>-9.551098376313627E-4</v>
      </c>
      <c r="S34" s="289">
        <v>4.725897920604849E-3</v>
      </c>
      <c r="T34" s="290">
        <f t="shared" si="30"/>
        <v>5.6810077582362117E-3</v>
      </c>
      <c r="U34" s="281">
        <f t="shared" si="31"/>
        <v>5.9480151228730955</v>
      </c>
      <c r="V34" s="15">
        <v>86.200851250086927</v>
      </c>
      <c r="W34" s="16">
        <v>83.341016216368672</v>
      </c>
      <c r="X34" s="16">
        <f t="shared" si="32"/>
        <v>-2.8598350337182552</v>
      </c>
      <c r="Y34" s="17">
        <f t="shared" si="33"/>
        <v>-3.3176412903641379E-2</v>
      </c>
      <c r="Z34" s="297">
        <v>28765.224062154008</v>
      </c>
      <c r="AA34" s="298">
        <v>28485.959342754813</v>
      </c>
      <c r="AB34" s="298">
        <f t="shared" si="34"/>
        <v>-279.26471939919429</v>
      </c>
      <c r="AC34" s="281">
        <f t="shared" si="35"/>
        <v>-9.7084145354048839E-3</v>
      </c>
      <c r="AD34" s="297">
        <v>333.7</v>
      </c>
      <c r="AE34" s="298">
        <v>341.8</v>
      </c>
      <c r="AF34" s="298">
        <f t="shared" si="36"/>
        <v>8.1000000000000227</v>
      </c>
      <c r="AG34" s="281">
        <f t="shared" si="37"/>
        <v>2.4273299370692308E-2</v>
      </c>
      <c r="AH34" s="23">
        <v>25436.4924977517</v>
      </c>
      <c r="AI34" s="24">
        <v>26968.901462733898</v>
      </c>
      <c r="AJ34" s="24">
        <f t="shared" si="38"/>
        <v>1532.4089649821981</v>
      </c>
      <c r="AK34" s="17">
        <f t="shared" si="39"/>
        <v>6.0244507575784902E-2</v>
      </c>
      <c r="AL34" s="15">
        <v>25.77857142825</v>
      </c>
      <c r="AM34" s="16">
        <v>25.835714285000002</v>
      </c>
      <c r="AN34" s="16">
        <f t="shared" si="40"/>
        <v>5.7142856750001414E-2</v>
      </c>
      <c r="AO34" s="17">
        <f t="shared" si="41"/>
        <v>2.2166805057079382E-3</v>
      </c>
      <c r="AP34" s="15">
        <v>18.092583757500002</v>
      </c>
      <c r="AQ34" s="16">
        <v>19.052669989999998</v>
      </c>
      <c r="AR34" s="16">
        <f t="shared" si="42"/>
        <v>0.96008623249999658</v>
      </c>
      <c r="AS34" s="17">
        <f t="shared" si="43"/>
        <v>5.3065181035959426E-2</v>
      </c>
    </row>
    <row r="35" spans="1:45" x14ac:dyDescent="0.3">
      <c r="A35" s="1" t="s">
        <v>8</v>
      </c>
      <c r="B35" s="23">
        <v>35</v>
      </c>
      <c r="C35" s="24">
        <v>35</v>
      </c>
      <c r="D35" s="24">
        <f t="shared" si="22"/>
        <v>0</v>
      </c>
      <c r="E35" s="17">
        <f t="shared" si="23"/>
        <v>0</v>
      </c>
      <c r="F35" s="15">
        <v>0.85714285714285698</v>
      </c>
      <c r="G35" s="16">
        <v>0.82857142857142896</v>
      </c>
      <c r="H35" s="16">
        <f t="shared" si="24"/>
        <v>-2.8571428571428026E-2</v>
      </c>
      <c r="I35" s="17">
        <f t="shared" si="25"/>
        <v>-3.3333333333332701E-2</v>
      </c>
      <c r="J35" s="279">
        <v>30</v>
      </c>
      <c r="K35" s="280">
        <v>30</v>
      </c>
      <c r="L35" s="280">
        <f t="shared" si="26"/>
        <v>0</v>
      </c>
      <c r="M35" s="281">
        <f t="shared" si="27"/>
        <v>0</v>
      </c>
      <c r="N35" s="61">
        <v>50576740.148042753</v>
      </c>
      <c r="O35" s="62">
        <v>47040116.361999996</v>
      </c>
      <c r="P35" s="62">
        <f t="shared" si="28"/>
        <v>-3536623.7860427573</v>
      </c>
      <c r="Q35" s="17">
        <f t="shared" si="29"/>
        <v>-6.9925894308149064E-2</v>
      </c>
      <c r="R35" s="288">
        <v>2.8680688336522042E-3</v>
      </c>
      <c r="S35" s="289">
        <v>2.8222013170271509E-3</v>
      </c>
      <c r="T35" s="290">
        <f t="shared" si="30"/>
        <v>-4.5867516625053284E-5</v>
      </c>
      <c r="U35" s="281">
        <f t="shared" si="31"/>
        <v>-1.599247412993415E-2</v>
      </c>
      <c r="V35" s="15">
        <v>83.893470775002882</v>
      </c>
      <c r="W35" s="16">
        <v>83.341016216368672</v>
      </c>
      <c r="X35" s="16">
        <f t="shared" si="32"/>
        <v>-0.55245455863421</v>
      </c>
      <c r="Y35" s="17">
        <f t="shared" si="33"/>
        <v>-6.5851913567369158E-3</v>
      </c>
      <c r="Z35" s="297">
        <v>27995.251197618461</v>
      </c>
      <c r="AA35" s="298">
        <v>28485.959342754813</v>
      </c>
      <c r="AB35" s="298">
        <f t="shared" si="34"/>
        <v>490.70814513635196</v>
      </c>
      <c r="AC35" s="281">
        <f t="shared" si="35"/>
        <v>1.752826369274001E-2</v>
      </c>
      <c r="AD35" s="297">
        <v>333.7</v>
      </c>
      <c r="AE35" s="298">
        <v>341.8</v>
      </c>
      <c r="AF35" s="298">
        <f t="shared" si="36"/>
        <v>8.1000000000000227</v>
      </c>
      <c r="AG35" s="281">
        <f t="shared" si="37"/>
        <v>2.4273299370692308E-2</v>
      </c>
      <c r="AH35" s="23">
        <v>25525.1169064116</v>
      </c>
      <c r="AI35" s="24">
        <v>27049.808167122097</v>
      </c>
      <c r="AJ35" s="24">
        <f t="shared" si="38"/>
        <v>1524.6912607104969</v>
      </c>
      <c r="AK35" s="17">
        <f t="shared" si="39"/>
        <v>5.9732978552098734E-2</v>
      </c>
      <c r="AL35" s="15">
        <v>29.788571428200001</v>
      </c>
      <c r="AM35" s="16">
        <v>30.779999999400001</v>
      </c>
      <c r="AN35" s="16">
        <f t="shared" si="40"/>
        <v>0.99142857120000016</v>
      </c>
      <c r="AO35" s="17">
        <f t="shared" si="41"/>
        <v>3.3282179160207821E-2</v>
      </c>
      <c r="AP35" s="15">
        <v>20.036474510000001</v>
      </c>
      <c r="AQ35" s="16">
        <v>20.864757116</v>
      </c>
      <c r="AR35" s="16">
        <f t="shared" si="42"/>
        <v>0.82828260599999837</v>
      </c>
      <c r="AS35" s="17">
        <f t="shared" si="43"/>
        <v>4.1338739786114118E-2</v>
      </c>
    </row>
    <row r="36" spans="1:45" x14ac:dyDescent="0.3">
      <c r="A36" s="1" t="s">
        <v>9</v>
      </c>
      <c r="B36" s="23">
        <v>28</v>
      </c>
      <c r="C36" s="24">
        <v>28</v>
      </c>
      <c r="D36" s="24">
        <f t="shared" si="22"/>
        <v>0</v>
      </c>
      <c r="E36" s="17">
        <f t="shared" si="23"/>
        <v>0</v>
      </c>
      <c r="F36" s="15">
        <v>0.85714285714285698</v>
      </c>
      <c r="G36" s="16">
        <v>0.82142857142857095</v>
      </c>
      <c r="H36" s="16">
        <f t="shared" si="24"/>
        <v>-3.5714285714286031E-2</v>
      </c>
      <c r="I36" s="17">
        <f t="shared" si="25"/>
        <v>-4.1666666666667046E-2</v>
      </c>
      <c r="J36" s="279">
        <v>24</v>
      </c>
      <c r="K36" s="280">
        <v>23</v>
      </c>
      <c r="L36" s="280">
        <f t="shared" si="26"/>
        <v>-1</v>
      </c>
      <c r="M36" s="281">
        <f t="shared" si="27"/>
        <v>-4.1666666666666664E-2</v>
      </c>
      <c r="N36" s="61">
        <v>55147169.339514479</v>
      </c>
      <c r="O36" s="62">
        <v>52936263.685949989</v>
      </c>
      <c r="P36" s="62">
        <f t="shared" si="28"/>
        <v>-2210905.6535644904</v>
      </c>
      <c r="Q36" s="17">
        <f t="shared" si="29"/>
        <v>-4.0091008841324424E-2</v>
      </c>
      <c r="R36" s="288">
        <v>3.8131553860818457E-3</v>
      </c>
      <c r="S36" s="289">
        <v>5.6285178236399336E-3</v>
      </c>
      <c r="T36" s="290">
        <f t="shared" si="30"/>
        <v>1.8153624375580879E-3</v>
      </c>
      <c r="U36" s="281">
        <f t="shared" si="31"/>
        <v>0.47607879924962565</v>
      </c>
      <c r="V36" s="15">
        <v>81.142599521930705</v>
      </c>
      <c r="W36" s="16">
        <v>83.341016216368672</v>
      </c>
      <c r="X36" s="16">
        <f t="shared" si="32"/>
        <v>2.1984166944379666</v>
      </c>
      <c r="Y36" s="17">
        <f t="shared" si="33"/>
        <v>2.7093249506306396E-2</v>
      </c>
      <c r="Z36" s="297">
        <v>27077.285460468276</v>
      </c>
      <c r="AA36" s="298">
        <v>28485.959342754813</v>
      </c>
      <c r="AB36" s="298">
        <f t="shared" si="34"/>
        <v>1408.6738822865373</v>
      </c>
      <c r="AC36" s="281">
        <f t="shared" si="35"/>
        <v>5.2024191433190127E-2</v>
      </c>
      <c r="AD36" s="297">
        <v>333.7</v>
      </c>
      <c r="AE36" s="298">
        <v>341.8</v>
      </c>
      <c r="AF36" s="298">
        <f t="shared" si="36"/>
        <v>8.1000000000000227</v>
      </c>
      <c r="AG36" s="281">
        <f t="shared" si="37"/>
        <v>2.4273299370692308E-2</v>
      </c>
      <c r="AH36" s="23">
        <v>25462.139377956999</v>
      </c>
      <c r="AI36" s="24">
        <v>27185.057207957703</v>
      </c>
      <c r="AJ36" s="24">
        <f t="shared" si="38"/>
        <v>1722.9178300007043</v>
      </c>
      <c r="AK36" s="17">
        <f t="shared" si="39"/>
        <v>6.7665870664908201E-2</v>
      </c>
      <c r="AL36" s="15">
        <v>31.232142856749999</v>
      </c>
      <c r="AM36" s="16">
        <v>35.357142856750002</v>
      </c>
      <c r="AN36" s="16">
        <f t="shared" si="40"/>
        <v>4.1250000000000036</v>
      </c>
      <c r="AO36" s="17">
        <f t="shared" si="41"/>
        <v>0.13207547169977465</v>
      </c>
      <c r="AP36" s="15">
        <v>24.820115272500001</v>
      </c>
      <c r="AQ36" s="16">
        <v>25.254081145000001</v>
      </c>
      <c r="AR36" s="16">
        <f t="shared" si="42"/>
        <v>0.43396587249999996</v>
      </c>
      <c r="AS36" s="17">
        <f t="shared" si="43"/>
        <v>1.7484442265295282E-2</v>
      </c>
    </row>
    <row r="37" spans="1:45" x14ac:dyDescent="0.3">
      <c r="A37" s="1" t="s">
        <v>10</v>
      </c>
      <c r="B37" s="23">
        <v>28</v>
      </c>
      <c r="C37" s="24">
        <v>28</v>
      </c>
      <c r="D37" s="24">
        <f t="shared" si="22"/>
        <v>0</v>
      </c>
      <c r="E37" s="80">
        <f t="shared" si="23"/>
        <v>0</v>
      </c>
      <c r="F37" s="15">
        <v>0.78571428571428603</v>
      </c>
      <c r="G37" s="16">
        <v>0.82142857142857095</v>
      </c>
      <c r="H37" s="16">
        <f t="shared" si="24"/>
        <v>3.5714285714284921E-2</v>
      </c>
      <c r="I37" s="80">
        <f t="shared" si="25"/>
        <v>4.5454545454544429E-2</v>
      </c>
      <c r="J37" s="279">
        <v>24</v>
      </c>
      <c r="K37" s="280">
        <v>24</v>
      </c>
      <c r="L37" s="280">
        <f t="shared" si="26"/>
        <v>0</v>
      </c>
      <c r="M37" s="281">
        <f t="shared" si="27"/>
        <v>0</v>
      </c>
      <c r="N37" s="61">
        <v>55147169.339514479</v>
      </c>
      <c r="O37" s="62">
        <v>52936263.685949989</v>
      </c>
      <c r="P37" s="62">
        <f t="shared" si="28"/>
        <v>-2210905.6535644904</v>
      </c>
      <c r="Q37" s="80">
        <f t="shared" si="29"/>
        <v>-4.0091008841324424E-2</v>
      </c>
      <c r="R37" s="288">
        <v>1.8993352326686086E-3</v>
      </c>
      <c r="S37" s="289">
        <v>2.8917910447761042E-3</v>
      </c>
      <c r="T37" s="290">
        <f t="shared" si="30"/>
        <v>9.9245581210749556E-4</v>
      </c>
      <c r="U37" s="281">
        <f t="shared" si="31"/>
        <v>0.52252798507458464</v>
      </c>
      <c r="V37" s="15">
        <v>83.148841517885714</v>
      </c>
      <c r="W37" s="16">
        <v>84.17442637853236</v>
      </c>
      <c r="X37" s="16">
        <f t="shared" si="32"/>
        <v>1.0255848606466458</v>
      </c>
      <c r="Y37" s="80">
        <f t="shared" si="33"/>
        <v>1.2334325312590646E-2</v>
      </c>
      <c r="Z37" s="297">
        <v>27746.768414518461</v>
      </c>
      <c r="AA37" s="298">
        <v>28770.818936182361</v>
      </c>
      <c r="AB37" s="298">
        <f t="shared" si="34"/>
        <v>1024.0505216638994</v>
      </c>
      <c r="AC37" s="281">
        <f t="shared" si="35"/>
        <v>3.6907019454130961E-2</v>
      </c>
      <c r="AD37" s="297">
        <v>333.7</v>
      </c>
      <c r="AE37" s="298">
        <v>341.8</v>
      </c>
      <c r="AF37" s="298">
        <f t="shared" si="36"/>
        <v>8.1000000000000227</v>
      </c>
      <c r="AG37" s="281">
        <f t="shared" si="37"/>
        <v>2.4273299370692308E-2</v>
      </c>
      <c r="AH37" s="23">
        <v>25544.224335380099</v>
      </c>
      <c r="AI37" s="24">
        <v>27293.797436789533</v>
      </c>
      <c r="AJ37" s="24">
        <f t="shared" si="38"/>
        <v>1749.5731014094345</v>
      </c>
      <c r="AK37" s="80">
        <f t="shared" si="39"/>
        <v>6.8491925158447001E-2</v>
      </c>
      <c r="AL37" s="15">
        <v>35.189285714</v>
      </c>
      <c r="AM37" s="16">
        <v>31.799999999499999</v>
      </c>
      <c r="AN37" s="16">
        <f t="shared" si="40"/>
        <v>-3.3892857145000015</v>
      </c>
      <c r="AO37" s="80">
        <f t="shared" si="41"/>
        <v>-9.6315842897361781E-2</v>
      </c>
      <c r="AP37" s="15">
        <v>27.9213897775</v>
      </c>
      <c r="AQ37" s="16">
        <v>27.185594545000001</v>
      </c>
      <c r="AR37" s="16">
        <f t="shared" si="42"/>
        <v>-0.73579523249999923</v>
      </c>
      <c r="AS37" s="80">
        <f t="shared" si="43"/>
        <v>-2.6352385692954578E-2</v>
      </c>
    </row>
    <row r="38" spans="1:45" ht="15" thickBot="1" x14ac:dyDescent="0.35">
      <c r="A38" s="4" t="s">
        <v>11</v>
      </c>
      <c r="B38" s="25">
        <v>39</v>
      </c>
      <c r="C38" s="26">
        <v>41</v>
      </c>
      <c r="D38" s="26">
        <f t="shared" si="22"/>
        <v>2</v>
      </c>
      <c r="E38" s="20">
        <f t="shared" si="23"/>
        <v>5.128205128205128E-2</v>
      </c>
      <c r="F38" s="18">
        <v>0.831168831168831</v>
      </c>
      <c r="G38" s="19">
        <v>0.83956043956044002</v>
      </c>
      <c r="H38" s="19">
        <f t="shared" si="24"/>
        <v>8.3916083916090178E-3</v>
      </c>
      <c r="I38" s="20">
        <f t="shared" si="25"/>
        <v>1.0096153846154601E-2</v>
      </c>
      <c r="J38" s="282">
        <v>32</v>
      </c>
      <c r="K38" s="283">
        <v>33</v>
      </c>
      <c r="L38" s="283">
        <f t="shared" si="26"/>
        <v>1</v>
      </c>
      <c r="M38" s="284">
        <f t="shared" si="27"/>
        <v>3.125E-2</v>
      </c>
      <c r="N38" s="63">
        <v>55147169.339514479</v>
      </c>
      <c r="O38" s="64">
        <v>52936263.685949989</v>
      </c>
      <c r="P38" s="64">
        <f t="shared" si="28"/>
        <v>-2210905.6535644904</v>
      </c>
      <c r="Q38" s="20">
        <f t="shared" si="29"/>
        <v>-4.0091008841324424E-2</v>
      </c>
      <c r="R38" s="291">
        <v>5.687203791469031E-3</v>
      </c>
      <c r="S38" s="292">
        <v>1.9533066691470591E-3</v>
      </c>
      <c r="T38" s="293">
        <f t="shared" si="30"/>
        <v>-3.7338971223219719E-3</v>
      </c>
      <c r="U38" s="284">
        <f t="shared" si="31"/>
        <v>-0.65654357734163227</v>
      </c>
      <c r="V38" s="18">
        <v>86.507912301733242</v>
      </c>
      <c r="W38" s="19">
        <v>85.94208933248153</v>
      </c>
      <c r="X38" s="19">
        <f t="shared" si="32"/>
        <v>-0.56582296925171249</v>
      </c>
      <c r="Y38" s="20">
        <f t="shared" si="33"/>
        <v>-6.5407077132801856E-3</v>
      </c>
      <c r="Z38" s="299">
        <v>28867.69033508838</v>
      </c>
      <c r="AA38" s="300">
        <v>29375.006133842187</v>
      </c>
      <c r="AB38" s="300">
        <f t="shared" si="34"/>
        <v>507.31579875380703</v>
      </c>
      <c r="AC38" s="284">
        <f t="shared" si="35"/>
        <v>1.7573827100991517E-2</v>
      </c>
      <c r="AD38" s="299">
        <v>333.7</v>
      </c>
      <c r="AE38" s="300">
        <v>341.8</v>
      </c>
      <c r="AF38" s="300">
        <f t="shared" si="36"/>
        <v>8.1000000000000227</v>
      </c>
      <c r="AG38" s="284">
        <f t="shared" si="37"/>
        <v>2.4273299370692308E-2</v>
      </c>
      <c r="AH38" s="25">
        <v>25558.1472927717</v>
      </c>
      <c r="AI38" s="26">
        <v>27348.385031663111</v>
      </c>
      <c r="AJ38" s="26">
        <f t="shared" si="38"/>
        <v>1790.2377388914101</v>
      </c>
      <c r="AK38" s="20">
        <f t="shared" si="39"/>
        <v>7.0045677348362465E-2</v>
      </c>
      <c r="AL38" s="18">
        <v>32.672207791799998</v>
      </c>
      <c r="AM38" s="19">
        <v>32.480879120600001</v>
      </c>
      <c r="AN38" s="19">
        <f t="shared" si="40"/>
        <v>-0.1913286711999973</v>
      </c>
      <c r="AO38" s="20">
        <f t="shared" si="41"/>
        <v>-5.8560068061276399E-3</v>
      </c>
      <c r="AP38" s="18">
        <v>30.695088972000001</v>
      </c>
      <c r="AQ38" s="19">
        <v>29.542464282000001</v>
      </c>
      <c r="AR38" s="19">
        <f t="shared" si="42"/>
        <v>-1.1526246899999997</v>
      </c>
      <c r="AS38" s="20">
        <f t="shared" si="43"/>
        <v>-3.7550785112609432E-2</v>
      </c>
    </row>
    <row r="39" spans="1:45" ht="15" thickBot="1" x14ac:dyDescent="0.35">
      <c r="A39" s="4" t="s">
        <v>15</v>
      </c>
      <c r="B39" s="25">
        <f>SUM(B27:B38)</f>
        <v>365</v>
      </c>
      <c r="C39" s="26">
        <f>SUM(C27:C38)</f>
        <v>366</v>
      </c>
      <c r="D39" s="26">
        <f>C39-B39</f>
        <v>1</v>
      </c>
      <c r="E39" s="83">
        <f>(C39-B39)/B39</f>
        <v>2.7397260273972603E-3</v>
      </c>
      <c r="F39" s="18">
        <f>(4*SUM(F27:F28,F30:F31,F33:F34,F36:F37)+5*SUM(F29,F32,F35,F38))/52</f>
        <v>0.83884865134865128</v>
      </c>
      <c r="G39" s="19">
        <f>(4*SUM(G27:G28,G30:G31,G33:G34,G36:G37)+5*SUM(G29,G32,G35,G38))/52</f>
        <v>0.82156945618484079</v>
      </c>
      <c r="H39" s="19">
        <f t="shared" si="24"/>
        <v>-1.727919516381049E-2</v>
      </c>
      <c r="I39" s="83">
        <f t="shared" si="25"/>
        <v>-2.0598704111915805E-2</v>
      </c>
      <c r="J39" s="285">
        <f>SUM(J27:J38)</f>
        <v>306</v>
      </c>
      <c r="K39" s="286">
        <f>SUM(K27:K38)</f>
        <v>305</v>
      </c>
      <c r="L39" s="286">
        <f t="shared" ref="L39" si="44">K39-J39</f>
        <v>-1</v>
      </c>
      <c r="M39" s="287">
        <f t="shared" ref="M39" si="45">(K39-J39)/J39</f>
        <v>-3.2679738562091504E-3</v>
      </c>
      <c r="N39" s="63">
        <f>(4*SUM(N27:N28,N30:N31,N33:N34,N36:N37)+5*SUM(N29,N32,N35,N38))/52</f>
        <v>52391262.631470628</v>
      </c>
      <c r="O39" s="64">
        <f>(4*SUM(O27:O28,O30:O31,O33:O34,O36:O37)+5*SUM(O29,O32,O35,O38))/52</f>
        <v>50717896.854294419</v>
      </c>
      <c r="P39" s="64">
        <f t="shared" ref="P39" si="46">O39-N39</f>
        <v>-1673365.7771762088</v>
      </c>
      <c r="Q39" s="83">
        <f t="shared" ref="Q39" si="47">(O39-N39)/N39</f>
        <v>-3.1939787153956539E-2</v>
      </c>
      <c r="R39" s="303">
        <f>PRODUCT((1+R27),(1+R28),(1+R29),(1+R30),(1+R31),(1+R32),(1+R33),(1+R34),(1+R35),(1+R36),(1+R37),(1+R38))-1</f>
        <v>2.8100775193798277E-2</v>
      </c>
      <c r="S39" s="304">
        <f>PRODUCT((1+S27),(1+S28),(1+S29),(1+S30),(1+S31),(1+S32),(1+S33),(1+S34),(1+S35),(1+S36),(1+S37),(1+S38))-1</f>
        <v>1.5268614514608814E-2</v>
      </c>
      <c r="T39" s="296">
        <f t="shared" ref="T39" si="48">S39-R39</f>
        <v>-1.2832160679189464E-2</v>
      </c>
      <c r="U39" s="287">
        <f t="shared" ref="U39" si="49">IFERROR((S39-R39)/ABS(R39),0)</f>
        <v>-0.45664792485943473</v>
      </c>
      <c r="V39" s="18">
        <f>(4*SUM(V27:V28,V30:V31,V33:V34,V36:V37)+5*SUM(V29,V32,V35,V38))/52</f>
        <v>85.369489285799986</v>
      </c>
      <c r="W39" s="19">
        <f>(4*SUM(W27:W28,W30:W31,W33:W34,W36:W37)+5*SUM(W29,W32,W35,W38))/52</f>
        <v>84.946279091573643</v>
      </c>
      <c r="X39" s="19">
        <f>W39-V39</f>
        <v>-0.42321019422634265</v>
      </c>
      <c r="Y39" s="83">
        <f>(W39-V39)/V39</f>
        <v>-4.9573940030204411E-3</v>
      </c>
      <c r="Z39" s="301">
        <f>(4*SUM(Z27:Z28,Z30:Z31,Z33:Z34,Z36:Z37)+5*SUM(Z29,Z32,Z35,Z38))/52</f>
        <v>28241.793486383194</v>
      </c>
      <c r="AA39" s="302">
        <f>(4*SUM(AA27:AA28,AA30:AA31,AA33:AA34,AA36:AA37)+5*SUM(AA29,AA32,AA35,AA38))/52</f>
        <v>28768.276525684032</v>
      </c>
      <c r="AB39" s="302">
        <f t="shared" ref="AB39" si="50">AA39-Z39</f>
        <v>526.48303930083785</v>
      </c>
      <c r="AC39" s="287">
        <f t="shared" ref="AC39" si="51">(AA39-Z39)/Z39</f>
        <v>1.8641983185475886E-2</v>
      </c>
      <c r="AD39" s="301">
        <f>(4*SUM(AD27:AD28,AD30:AD31,AD33:AD34,AD36:AD37)+5*SUM(AD29,AD32,AD35,AD38))/52</f>
        <v>330.84999999999997</v>
      </c>
      <c r="AE39" s="302">
        <f>(4*SUM(AE27:AE28,AE30:AE31,AE33:AE34,AE36:AE37)+5*SUM(AE29,AE32,AE35,AE38))/52</f>
        <v>338.70000000000005</v>
      </c>
      <c r="AF39" s="302">
        <f t="shared" si="36"/>
        <v>7.8500000000000796</v>
      </c>
      <c r="AG39" s="287">
        <f t="shared" si="37"/>
        <v>2.3726764394741064E-2</v>
      </c>
      <c r="AH39" s="25">
        <f>(4*SUM(AH27:AH28,AH30:AH31,AH33:AH34,AH36:AH37)+5*SUM(AH29,AH32,AH35,AH38))/52</f>
        <v>25668.823577489398</v>
      </c>
      <c r="AI39" s="26">
        <f>(4*SUM(AI27:AI28,AI30:AI31,AI33:AI34,AI36:AI37)+5*SUM(AI29,AI32,AI35,AI38))/52</f>
        <v>26102.243630497269</v>
      </c>
      <c r="AJ39" s="26">
        <f t="shared" ref="AJ39" si="52">AI39-AH39</f>
        <v>433.42005300787059</v>
      </c>
      <c r="AK39" s="83">
        <f t="shared" ref="AK39" si="53">(AI39-AH39)/AH39</f>
        <v>1.6885076626104667E-2</v>
      </c>
      <c r="AL39" s="18">
        <f>(4*SUM(AL27:AL28,AL30:AL31,AL33:AL34,AL36:AL37)+5*SUM(AL29,AL32,AL35,AL38))/52</f>
        <v>29.649662836807689</v>
      </c>
      <c r="AM39" s="19">
        <f>(4*SUM(AM27:AM28,AM30:AM31,AM33:AM34,AM36:AM37)+5*SUM(AM29,AM32,AM35,AM38))/52</f>
        <v>30.451091856403842</v>
      </c>
      <c r="AN39" s="19">
        <f t="shared" ref="AN39" si="54">AM39-AL39</f>
        <v>0.80142901959615287</v>
      </c>
      <c r="AO39" s="83">
        <f t="shared" ref="AO39" si="55">(AM39-AL39)/AL39</f>
        <v>2.7029953898876812E-2</v>
      </c>
      <c r="AP39" s="18">
        <f>(4*SUM(AP27:AP28,AP30:AP31,AP33:AP34,AP36:AP37)+5*SUM(AP29,AP32,AP35,AP38))/52</f>
        <v>24.512333040961536</v>
      </c>
      <c r="AQ39" s="19">
        <f>(4*SUM(AQ27:AQ28,AQ30:AQ31,AQ33:AQ34,AQ36:AQ37)+5*SUM(AQ29,AQ32,AQ35,AQ38))/52</f>
        <v>25.083992860769232</v>
      </c>
      <c r="AR39" s="19">
        <f>AQ39-AP39</f>
        <v>0.57165981980769587</v>
      </c>
      <c r="AS39" s="169">
        <f>(AQ39-AP39)/AP39</f>
        <v>2.3321314166726562E-2</v>
      </c>
    </row>
  </sheetData>
  <mergeCells count="49">
    <mergeCell ref="AP25:AS25"/>
    <mergeCell ref="N7:Q7"/>
    <mergeCell ref="N24:Q24"/>
    <mergeCell ref="AP1:AS5"/>
    <mergeCell ref="AP7:AS7"/>
    <mergeCell ref="AP8:AS8"/>
    <mergeCell ref="AP24:AS24"/>
    <mergeCell ref="AD8:AG8"/>
    <mergeCell ref="AD25:AG25"/>
    <mergeCell ref="Z7:AG7"/>
    <mergeCell ref="Z24:AG24"/>
    <mergeCell ref="N1:Q5"/>
    <mergeCell ref="R7:U7"/>
    <mergeCell ref="B1:E5"/>
    <mergeCell ref="B8:E8"/>
    <mergeCell ref="B25:E25"/>
    <mergeCell ref="B7:M7"/>
    <mergeCell ref="B24:M24"/>
    <mergeCell ref="F1:I5"/>
    <mergeCell ref="F8:I8"/>
    <mergeCell ref="F25:I25"/>
    <mergeCell ref="AH7:AK7"/>
    <mergeCell ref="AL7:AO7"/>
    <mergeCell ref="J1:M5"/>
    <mergeCell ref="Z1:AC5"/>
    <mergeCell ref="AH1:AK5"/>
    <mergeCell ref="AL1:AO5"/>
    <mergeCell ref="R1:U5"/>
    <mergeCell ref="V1:Y5"/>
    <mergeCell ref="V7:Y7"/>
    <mergeCell ref="AD1:AG5"/>
    <mergeCell ref="N8:Q8"/>
    <mergeCell ref="R24:U24"/>
    <mergeCell ref="AH24:AK24"/>
    <mergeCell ref="AL24:AO24"/>
    <mergeCell ref="J8:M8"/>
    <mergeCell ref="Z8:AC8"/>
    <mergeCell ref="AH8:AK8"/>
    <mergeCell ref="AL8:AO8"/>
    <mergeCell ref="R8:U8"/>
    <mergeCell ref="V8:Y8"/>
    <mergeCell ref="V24:Y24"/>
    <mergeCell ref="N25:Q25"/>
    <mergeCell ref="J25:M25"/>
    <mergeCell ref="Z25:AC25"/>
    <mergeCell ref="AH25:AK25"/>
    <mergeCell ref="AL25:AO25"/>
    <mergeCell ref="R25:U25"/>
    <mergeCell ref="V25:Y25"/>
  </mergeCells>
  <pageMargins left="0.7" right="0.7" top="0.75" bottom="0.75" header="0.3" footer="0.3"/>
  <pageSetup orientation="portrait" r:id="rId1"/>
  <headerFooter>
    <oddFooter>&amp;C&amp;1#&amp;"Calibri"&amp;10&amp;K000000Classified - Confidential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36"/>
  <sheetViews>
    <sheetView showGridLines="0" zoomScale="80" zoomScaleNormal="80" workbookViewId="0">
      <pane xSplit="1" topLeftCell="D1" activePane="topRight" state="frozen"/>
      <selection pane="topRight" activeCell="I4" sqref="I4"/>
    </sheetView>
  </sheetViews>
  <sheetFormatPr baseColWidth="10" defaultColWidth="12.88671875" defaultRowHeight="14.4" outlineLevelRow="1" x14ac:dyDescent="0.3"/>
  <cols>
    <col min="1" max="1" width="21" customWidth="1"/>
    <col min="2" max="2" width="15.6640625" bestFit="1" customWidth="1"/>
    <col min="3" max="3" width="12.44140625" bestFit="1" customWidth="1"/>
    <col min="4" max="4" width="11.33203125" bestFit="1" customWidth="1"/>
    <col min="5" max="5" width="15.44140625" bestFit="1" customWidth="1"/>
    <col min="6" max="6" width="20.5546875" bestFit="1" customWidth="1"/>
    <col min="7" max="7" width="12.109375" bestFit="1" customWidth="1"/>
    <col min="8" max="8" width="12.109375" style="250" customWidth="1"/>
    <col min="9" max="9" width="14.33203125" customWidth="1"/>
    <col min="10" max="10" width="16" bestFit="1" customWidth="1"/>
    <col min="11" max="11" width="12.109375" bestFit="1" customWidth="1"/>
    <col min="12" max="12" width="14.5546875" bestFit="1" customWidth="1"/>
    <col min="13" max="13" width="118.6640625" customWidth="1"/>
  </cols>
  <sheetData>
    <row r="1" spans="1:13" ht="25.8" x14ac:dyDescent="0.5">
      <c r="B1" s="305" t="s">
        <v>45</v>
      </c>
      <c r="C1" s="305"/>
      <c r="D1" s="305"/>
      <c r="E1" s="305"/>
      <c r="F1" s="305"/>
      <c r="G1" s="305"/>
      <c r="H1" s="305"/>
      <c r="I1" s="305"/>
      <c r="J1" s="305"/>
    </row>
    <row r="2" spans="1:13" x14ac:dyDescent="0.3">
      <c r="A2" s="306" t="s">
        <v>59</v>
      </c>
      <c r="B2" s="306"/>
      <c r="C2" s="306"/>
      <c r="D2" s="306"/>
      <c r="E2" s="306"/>
      <c r="F2" s="306"/>
      <c r="G2" s="306"/>
      <c r="H2" s="306"/>
      <c r="I2" s="306"/>
      <c r="J2" s="306"/>
    </row>
    <row r="3" spans="1:13" ht="30.75" customHeight="1" x14ac:dyDescent="0.3">
      <c r="A3" s="5" t="s">
        <v>34</v>
      </c>
      <c r="B3" s="5" t="s">
        <v>26</v>
      </c>
      <c r="C3" s="40" t="s">
        <v>21</v>
      </c>
      <c r="D3" s="40" t="s">
        <v>22</v>
      </c>
      <c r="E3" s="40" t="s">
        <v>23</v>
      </c>
      <c r="F3" s="40" t="s">
        <v>24</v>
      </c>
      <c r="G3" s="40" t="s">
        <v>25</v>
      </c>
      <c r="H3" s="40" t="s">
        <v>60</v>
      </c>
      <c r="I3" s="5" t="s">
        <v>62</v>
      </c>
      <c r="J3" s="5" t="s">
        <v>65</v>
      </c>
      <c r="K3" s="5" t="s">
        <v>66</v>
      </c>
      <c r="M3" s="130" t="str">
        <f>"Comentarios "&amp;A2</f>
        <v>Comentarios w47</v>
      </c>
    </row>
    <row r="4" spans="1:13" ht="15" customHeight="1" x14ac:dyDescent="0.3">
      <c r="A4" s="6" t="s">
        <v>0</v>
      </c>
      <c r="B4" s="7">
        <v>14201516.176999999</v>
      </c>
      <c r="C4" s="7">
        <v>-880207.6724869</v>
      </c>
      <c r="D4" s="7">
        <v>588550.13951050001</v>
      </c>
      <c r="E4" s="7">
        <v>-505628.61326487601</v>
      </c>
      <c r="F4" s="7">
        <v>-754942.84336313605</v>
      </c>
      <c r="G4" s="7">
        <v>198103.936299161</v>
      </c>
      <c r="H4" s="7">
        <v>1</v>
      </c>
      <c r="I4" s="7">
        <v>704332.20510525</v>
      </c>
      <c r="J4" s="7">
        <f t="shared" ref="J4:J15" si="0">SUM(B4:I4)</f>
        <v>13551724.328799998</v>
      </c>
      <c r="K4" s="123">
        <f t="shared" ref="K4:K16" si="1">J4/B4-1</f>
        <v>-4.5755103898861726E-2</v>
      </c>
      <c r="L4" s="90"/>
    </row>
    <row r="5" spans="1:13" ht="15" customHeight="1" x14ac:dyDescent="0.3">
      <c r="A5" s="6" t="s">
        <v>1</v>
      </c>
      <c r="B5" s="7">
        <v>16164128.085000001</v>
      </c>
      <c r="C5" s="7">
        <v>0</v>
      </c>
      <c r="D5" s="7">
        <v>396515.652902845</v>
      </c>
      <c r="E5" s="7">
        <v>-342134.83308003098</v>
      </c>
      <c r="F5" s="7">
        <v>-842243.93313449202</v>
      </c>
      <c r="G5" s="7">
        <v>56489.820180405899</v>
      </c>
      <c r="H5" s="7">
        <v>1</v>
      </c>
      <c r="I5" s="7">
        <v>208422.57213127299</v>
      </c>
      <c r="J5" s="7">
        <f t="shared" si="0"/>
        <v>15641178.364000002</v>
      </c>
      <c r="K5" s="124">
        <f t="shared" si="1"/>
        <v>-3.2352485593410196E-2</v>
      </c>
      <c r="L5" s="90"/>
    </row>
    <row r="6" spans="1:13" x14ac:dyDescent="0.3">
      <c r="A6" s="6" t="s">
        <v>2</v>
      </c>
      <c r="B6" s="7">
        <v>17567687.881999999</v>
      </c>
      <c r="C6" s="7">
        <v>-805311.96296761802</v>
      </c>
      <c r="D6" s="7">
        <v>477122.72135544103</v>
      </c>
      <c r="E6" s="7">
        <v>-63298.531238222502</v>
      </c>
      <c r="F6" s="7">
        <v>-568740.03738565999</v>
      </c>
      <c r="G6" s="7">
        <v>1210979.0134947</v>
      </c>
      <c r="H6" s="7">
        <v>1</v>
      </c>
      <c r="I6" s="7">
        <v>549756.46344317903</v>
      </c>
      <c r="J6" s="7">
        <f t="shared" si="0"/>
        <v>18368196.548701815</v>
      </c>
      <c r="K6" s="124">
        <f t="shared" si="1"/>
        <v>4.5567104338301911E-2</v>
      </c>
      <c r="L6" s="90"/>
    </row>
    <row r="7" spans="1:13" x14ac:dyDescent="0.3">
      <c r="A7" s="6" t="s">
        <v>3</v>
      </c>
      <c r="B7" s="7">
        <v>12006015.914000001</v>
      </c>
      <c r="C7" s="7">
        <v>1207967.9420354899</v>
      </c>
      <c r="D7" s="7">
        <v>288644.42894422403</v>
      </c>
      <c r="E7" s="7">
        <v>2475.2100040466999</v>
      </c>
      <c r="F7" s="7">
        <v>-515466.11908092798</v>
      </c>
      <c r="G7" s="7">
        <v>-60778.059952736498</v>
      </c>
      <c r="H7" s="7">
        <v>1</v>
      </c>
      <c r="I7" s="7">
        <v>-14118.3761925853</v>
      </c>
      <c r="J7" s="7">
        <f t="shared" si="0"/>
        <v>12914741.939757515</v>
      </c>
      <c r="K7" s="124">
        <f t="shared" si="1"/>
        <v>7.5689223824688234E-2</v>
      </c>
      <c r="L7" s="90"/>
    </row>
    <row r="8" spans="1:13" ht="15" customHeight="1" x14ac:dyDescent="0.3">
      <c r="A8" s="6" t="s">
        <v>4</v>
      </c>
      <c r="B8" s="7">
        <v>11869370.231000001</v>
      </c>
      <c r="C8" s="7">
        <v>402655.98148380901</v>
      </c>
      <c r="D8" s="7">
        <v>115576.311384238</v>
      </c>
      <c r="E8" s="7">
        <v>-82346.362217985996</v>
      </c>
      <c r="F8" s="7">
        <v>-415148.80055428803</v>
      </c>
      <c r="G8" s="7">
        <v>123679.129458664</v>
      </c>
      <c r="H8" s="7">
        <v>1</v>
      </c>
      <c r="I8" s="7">
        <v>-510000.053648934</v>
      </c>
      <c r="J8" s="7">
        <f t="shared" si="0"/>
        <v>11503787.436905505</v>
      </c>
      <c r="K8" s="124">
        <f t="shared" si="1"/>
        <v>-3.0800521592938335E-2</v>
      </c>
      <c r="L8" s="90"/>
    </row>
    <row r="9" spans="1:13" ht="15" customHeight="1" x14ac:dyDescent="0.3">
      <c r="A9" s="6" t="s">
        <v>5</v>
      </c>
      <c r="B9" s="7">
        <v>13244642.205</v>
      </c>
      <c r="C9" s="7">
        <v>0</v>
      </c>
      <c r="D9" s="7">
        <v>-81496.117001706007</v>
      </c>
      <c r="E9" s="7">
        <v>-149761.32114283601</v>
      </c>
      <c r="F9" s="7">
        <v>-485598.94308861397</v>
      </c>
      <c r="G9" s="7">
        <v>876348.08318355703</v>
      </c>
      <c r="H9" s="7">
        <v>1</v>
      </c>
      <c r="I9" s="7">
        <v>-446348.71765206201</v>
      </c>
      <c r="J9" s="7">
        <f t="shared" si="0"/>
        <v>12957786.189298339</v>
      </c>
      <c r="K9" s="124">
        <f t="shared" si="1"/>
        <v>-2.1658268397267033E-2</v>
      </c>
      <c r="L9" s="90"/>
    </row>
    <row r="10" spans="1:13" ht="15" customHeight="1" x14ac:dyDescent="0.3">
      <c r="A10" s="6" t="s">
        <v>6</v>
      </c>
      <c r="B10" s="7">
        <v>11963861.946</v>
      </c>
      <c r="C10" s="7">
        <v>0</v>
      </c>
      <c r="D10" s="7">
        <v>-355619.41964380699</v>
      </c>
      <c r="E10" s="7">
        <v>-146483.98529544999</v>
      </c>
      <c r="F10" s="7">
        <v>-306270.01525513601</v>
      </c>
      <c r="G10" s="7">
        <v>-1040830.1799100999</v>
      </c>
      <c r="H10" s="7">
        <v>1</v>
      </c>
      <c r="I10" s="7">
        <v>-1176368.6674049201</v>
      </c>
      <c r="J10" s="7">
        <f t="shared" si="0"/>
        <v>8938290.6784905884</v>
      </c>
      <c r="K10" s="124">
        <f t="shared" si="1"/>
        <v>-0.25289252593899936</v>
      </c>
      <c r="L10" s="90"/>
    </row>
    <row r="11" spans="1:13" ht="15" customHeight="1" x14ac:dyDescent="0.3">
      <c r="A11" s="6" t="s">
        <v>7</v>
      </c>
      <c r="B11" s="7">
        <v>11993492.367000001</v>
      </c>
      <c r="C11" s="7">
        <v>0</v>
      </c>
      <c r="D11" s="7">
        <v>-32598.446800682199</v>
      </c>
      <c r="E11" s="7">
        <v>95335.323770876799</v>
      </c>
      <c r="F11" s="7">
        <v>-238449.34076046999</v>
      </c>
      <c r="G11" s="7">
        <v>498614.782240164</v>
      </c>
      <c r="H11" s="7">
        <v>1</v>
      </c>
      <c r="I11" s="7">
        <v>-514782.236162099</v>
      </c>
      <c r="J11" s="7">
        <f t="shared" si="0"/>
        <v>11801613.449287791</v>
      </c>
      <c r="K11" s="124">
        <f t="shared" si="1"/>
        <v>-1.5998585886473182E-2</v>
      </c>
      <c r="L11" s="90"/>
    </row>
    <row r="12" spans="1:13" ht="15" customHeight="1" x14ac:dyDescent="0.3">
      <c r="A12" s="6" t="s">
        <v>8</v>
      </c>
      <c r="B12" s="7">
        <v>14909465.299000001</v>
      </c>
      <c r="C12" s="7">
        <v>402655.98148380901</v>
      </c>
      <c r="D12" s="7">
        <v>-131875.53478457901</v>
      </c>
      <c r="E12" s="7">
        <v>274952.26234930498</v>
      </c>
      <c r="F12" s="7">
        <v>-411405.37551522598</v>
      </c>
      <c r="G12" s="7">
        <v>813016.97193670506</v>
      </c>
      <c r="H12" s="7">
        <v>1</v>
      </c>
      <c r="I12" s="7">
        <v>743357.28398594703</v>
      </c>
      <c r="J12" s="7">
        <f t="shared" si="0"/>
        <v>16600167.888455961</v>
      </c>
      <c r="K12" s="124">
        <f t="shared" si="1"/>
        <v>0.11339793584477897</v>
      </c>
      <c r="L12" s="90"/>
    </row>
    <row r="13" spans="1:13" ht="15" customHeight="1" x14ac:dyDescent="0.3">
      <c r="A13" s="6" t="s">
        <v>9</v>
      </c>
      <c r="B13" s="7">
        <v>13383883.661</v>
      </c>
      <c r="C13" s="7">
        <v>0</v>
      </c>
      <c r="D13" s="7">
        <v>-292793.322173402</v>
      </c>
      <c r="E13" s="7">
        <v>624448.75352476398</v>
      </c>
      <c r="F13" s="7">
        <v>-329124.30041218101</v>
      </c>
      <c r="G13" s="7">
        <v>89547.187145246193</v>
      </c>
      <c r="H13" s="7">
        <v>1</v>
      </c>
      <c r="I13" s="7">
        <v>165840.74514466801</v>
      </c>
      <c r="J13" s="7">
        <f t="shared" si="0"/>
        <v>13641803.724229094</v>
      </c>
      <c r="K13" s="124">
        <f t="shared" si="1"/>
        <v>1.9270943304794175E-2</v>
      </c>
      <c r="L13" s="90"/>
    </row>
    <row r="14" spans="1:13" ht="15" customHeight="1" x14ac:dyDescent="0.3">
      <c r="A14" s="6" t="s">
        <v>10</v>
      </c>
      <c r="B14" s="7">
        <v>14420848.77</v>
      </c>
      <c r="C14" s="7">
        <v>805311.96296761802</v>
      </c>
      <c r="D14" s="7">
        <v>-116966.322195197</v>
      </c>
      <c r="E14" s="7">
        <v>937140.35729111196</v>
      </c>
      <c r="F14" s="7">
        <v>-312783.90890812699</v>
      </c>
      <c r="G14" s="7">
        <v>-449307.41091197601</v>
      </c>
      <c r="H14" s="7">
        <v>1</v>
      </c>
      <c r="I14" s="7">
        <v>-576513.65481038799</v>
      </c>
      <c r="J14" s="7">
        <f t="shared" si="0"/>
        <v>14707730.793433042</v>
      </c>
      <c r="K14" s="124">
        <f t="shared" si="1"/>
        <v>1.9893560220245021E-2</v>
      </c>
      <c r="L14" s="90"/>
      <c r="M14" s="160"/>
    </row>
    <row r="15" spans="1:13" x14ac:dyDescent="0.3">
      <c r="A15" s="6" t="s">
        <v>11</v>
      </c>
      <c r="B15" s="7">
        <v>24136096.052999999</v>
      </c>
      <c r="C15" s="7">
        <v>603600.66294699104</v>
      </c>
      <c r="D15" s="7">
        <v>-258734.399759155</v>
      </c>
      <c r="E15" s="7">
        <v>1789272.42781312</v>
      </c>
      <c r="F15" s="7">
        <v>-318702.186890396</v>
      </c>
      <c r="G15" s="7">
        <v>-664829.88196559902</v>
      </c>
      <c r="H15" s="7">
        <v>1</v>
      </c>
      <c r="I15" s="7">
        <v>1220419.45931056</v>
      </c>
      <c r="J15" s="7">
        <f t="shared" si="0"/>
        <v>26507123.134455521</v>
      </c>
      <c r="K15" s="124">
        <f t="shared" si="1"/>
        <v>9.8235732748536808E-2</v>
      </c>
      <c r="L15" s="90"/>
      <c r="M15" s="113"/>
    </row>
    <row r="16" spans="1:13" x14ac:dyDescent="0.3">
      <c r="A16" s="8" t="s">
        <v>27</v>
      </c>
      <c r="B16" s="9">
        <f t="shared" ref="B16:J16" si="2">SUM(B4:B15)</f>
        <v>175861008.59</v>
      </c>
      <c r="C16" s="9">
        <f t="shared" si="2"/>
        <v>1736672.8954631989</v>
      </c>
      <c r="D16" s="9">
        <f t="shared" si="2"/>
        <v>596325.69173872005</v>
      </c>
      <c r="E16" s="9">
        <f t="shared" si="2"/>
        <v>2433970.6885138229</v>
      </c>
      <c r="F16" s="9">
        <f t="shared" si="2"/>
        <v>-5498875.8043486541</v>
      </c>
      <c r="G16" s="9">
        <f t="shared" si="2"/>
        <v>1651033.3911981913</v>
      </c>
      <c r="H16" s="9">
        <f t="shared" si="2"/>
        <v>12</v>
      </c>
      <c r="I16" s="9">
        <f t="shared" si="2"/>
        <v>353997.02324988868</v>
      </c>
      <c r="J16" s="9">
        <f t="shared" si="2"/>
        <v>177134144.47581518</v>
      </c>
      <c r="K16" s="145">
        <f t="shared" si="1"/>
        <v>7.2394437858782634E-3</v>
      </c>
      <c r="L16" s="91"/>
      <c r="M16" s="112"/>
    </row>
    <row r="17" spans="1:13" x14ac:dyDescent="0.3">
      <c r="C17" s="89"/>
      <c r="D17" s="109"/>
      <c r="E17" s="89"/>
      <c r="F17" s="89"/>
      <c r="G17" s="89"/>
      <c r="H17" s="89"/>
      <c r="I17" s="89"/>
      <c r="J17" s="88"/>
      <c r="K17" s="126"/>
      <c r="M17" s="160"/>
    </row>
    <row r="18" spans="1:13" ht="28.8" outlineLevel="1" x14ac:dyDescent="0.3">
      <c r="A18" s="86"/>
      <c r="B18" s="86"/>
      <c r="C18" s="86" t="s">
        <v>21</v>
      </c>
      <c r="D18" s="86" t="s">
        <v>22</v>
      </c>
      <c r="E18" s="86" t="s">
        <v>23</v>
      </c>
      <c r="F18" s="86" t="s">
        <v>24</v>
      </c>
      <c r="G18" s="86" t="s">
        <v>25</v>
      </c>
      <c r="H18" s="86" t="s">
        <v>60</v>
      </c>
      <c r="I18" s="86" t="s">
        <v>62</v>
      </c>
      <c r="J18" s="86" t="s">
        <v>65</v>
      </c>
      <c r="K18" s="110"/>
      <c r="M18" s="144"/>
    </row>
    <row r="19" spans="1:13" outlineLevel="1" x14ac:dyDescent="0.3">
      <c r="A19" s="307" t="str">
        <f>"Dif. FY " &amp; A2 &amp; " vs " &amp; A22</f>
        <v>Dif. FY w47 vs w43</v>
      </c>
      <c r="B19" s="308"/>
      <c r="C19" s="114">
        <f>C16-C36</f>
        <v>0.45580425462685525</v>
      </c>
      <c r="D19" s="114">
        <f t="shared" ref="D19:J19" si="3">D16-D36</f>
        <v>-709283.27565128915</v>
      </c>
      <c r="E19" s="114">
        <f t="shared" si="3"/>
        <v>55218.600415808614</v>
      </c>
      <c r="F19" s="114">
        <f t="shared" si="3"/>
        <v>169.73959101829678</v>
      </c>
      <c r="G19" s="114">
        <f t="shared" si="3"/>
        <v>190758.8339811014</v>
      </c>
      <c r="H19" s="114">
        <f t="shared" ref="H19" si="4">H16-H36</f>
        <v>0</v>
      </c>
      <c r="I19" s="114">
        <f t="shared" si="3"/>
        <v>783.04140582913533</v>
      </c>
      <c r="J19" s="114">
        <f t="shared" si="3"/>
        <v>-462352.60445329547</v>
      </c>
      <c r="K19" s="127"/>
      <c r="M19" s="160"/>
    </row>
    <row r="20" spans="1:13" outlineLevel="1" x14ac:dyDescent="0.3">
      <c r="A20" s="307" t="str">
        <f>"Var. FY " &amp; A3 &amp; " vs " &amp; A23</f>
        <v>Var. FY Mes vs Mes</v>
      </c>
      <c r="B20" s="308"/>
      <c r="C20" s="166">
        <f>(C16-C36)/ABS(C36)</f>
        <v>2.6245839124179812E-7</v>
      </c>
      <c r="D20" s="134">
        <f t="shared" ref="D20:J20" si="5">(D16-D36)/ABS(D36)</f>
        <v>-0.54325858152551532</v>
      </c>
      <c r="E20" s="134">
        <f t="shared" si="5"/>
        <v>2.3213264085859369E-2</v>
      </c>
      <c r="F20" s="166">
        <f t="shared" si="5"/>
        <v>3.0867100419883144E-5</v>
      </c>
      <c r="G20" s="134">
        <f t="shared" si="5"/>
        <v>0.13063216984663417</v>
      </c>
      <c r="H20" s="134">
        <f t="shared" ref="H20" si="6">(H16-H36)/ABS(H36)</f>
        <v>0</v>
      </c>
      <c r="I20" s="134">
        <f t="shared" si="5"/>
        <v>2.216903763947941E-3</v>
      </c>
      <c r="J20" s="168">
        <f t="shared" si="5"/>
        <v>-2.6033880850945246E-3</v>
      </c>
      <c r="K20" s="127"/>
      <c r="M20" s="144"/>
    </row>
    <row r="21" spans="1:13" x14ac:dyDescent="0.3">
      <c r="K21" s="127"/>
    </row>
    <row r="22" spans="1:13" x14ac:dyDescent="0.3">
      <c r="A22" s="306" t="s">
        <v>58</v>
      </c>
      <c r="B22" s="306"/>
      <c r="C22" s="306"/>
      <c r="D22" s="306"/>
      <c r="E22" s="306"/>
      <c r="F22" s="306"/>
      <c r="G22" s="306"/>
      <c r="H22" s="306"/>
      <c r="I22" s="306"/>
      <c r="J22" s="306"/>
      <c r="K22" s="310" t="s">
        <v>66</v>
      </c>
      <c r="M22" s="160"/>
    </row>
    <row r="23" spans="1:13" ht="28.8" x14ac:dyDescent="0.3">
      <c r="A23" s="5" t="s">
        <v>34</v>
      </c>
      <c r="B23" s="5" t="s">
        <v>26</v>
      </c>
      <c r="C23" s="40" t="s">
        <v>21</v>
      </c>
      <c r="D23" s="40" t="s">
        <v>22</v>
      </c>
      <c r="E23" s="40" t="s">
        <v>23</v>
      </c>
      <c r="F23" s="40" t="s">
        <v>24</v>
      </c>
      <c r="G23" s="40" t="s">
        <v>25</v>
      </c>
      <c r="H23" s="40" t="s">
        <v>60</v>
      </c>
      <c r="I23" s="5" t="s">
        <v>62</v>
      </c>
      <c r="J23" s="5" t="s">
        <v>65</v>
      </c>
      <c r="K23" s="311"/>
      <c r="M23" s="130" t="str">
        <f>"Comentarios "&amp;A22</f>
        <v>Comentarios w43</v>
      </c>
    </row>
    <row r="24" spans="1:13" ht="15" customHeight="1" x14ac:dyDescent="0.3">
      <c r="A24" s="6" t="s">
        <v>0</v>
      </c>
      <c r="B24" s="7">
        <v>14201516.176999999</v>
      </c>
      <c r="C24" s="7">
        <v>-880209.30049956497</v>
      </c>
      <c r="D24" s="7">
        <v>588820.72703106399</v>
      </c>
      <c r="E24" s="7">
        <v>-505626.18814895197</v>
      </c>
      <c r="F24" s="7">
        <v>-754966.14697900799</v>
      </c>
      <c r="G24" s="7">
        <v>198103.17562212399</v>
      </c>
      <c r="H24" s="7">
        <v>1</v>
      </c>
      <c r="I24" s="7">
        <v>704084.88477433997</v>
      </c>
      <c r="J24" s="7">
        <f t="shared" ref="J24:J35" si="7">SUM(B24:I24)</f>
        <v>13551724.328800004</v>
      </c>
      <c r="K24" s="123">
        <f t="shared" ref="K24:K36" si="8">J24/B24-1</f>
        <v>-4.5755103898861393E-2</v>
      </c>
      <c r="M24" s="309"/>
    </row>
    <row r="25" spans="1:13" x14ac:dyDescent="0.3">
      <c r="A25" s="6" t="s">
        <v>1</v>
      </c>
      <c r="B25" s="7">
        <v>16164128.085000001</v>
      </c>
      <c r="C25" s="7">
        <v>0</v>
      </c>
      <c r="D25" s="7">
        <v>396814.19756684999</v>
      </c>
      <c r="E25" s="7">
        <v>-342133.19211943302</v>
      </c>
      <c r="F25" s="7">
        <v>-842269.93156505201</v>
      </c>
      <c r="G25" s="7">
        <v>56489.308188558403</v>
      </c>
      <c r="H25" s="7">
        <v>1</v>
      </c>
      <c r="I25" s="7">
        <v>208148.896929079</v>
      </c>
      <c r="J25" s="7">
        <f t="shared" si="7"/>
        <v>15641178.364000004</v>
      </c>
      <c r="K25" s="124">
        <f t="shared" si="8"/>
        <v>-3.2352485593410085E-2</v>
      </c>
      <c r="M25" s="309"/>
    </row>
    <row r="26" spans="1:13" x14ac:dyDescent="0.3">
      <c r="A26" s="6" t="s">
        <v>2</v>
      </c>
      <c r="B26" s="7">
        <v>17567687.881999999</v>
      </c>
      <c r="C26" s="7">
        <v>-805310.00360878697</v>
      </c>
      <c r="D26" s="7">
        <v>477171.05323915702</v>
      </c>
      <c r="E26" s="7">
        <v>-63298.227643307</v>
      </c>
      <c r="F26" s="7">
        <v>-568757.59328340995</v>
      </c>
      <c r="G26" s="7">
        <v>1210975.01031336</v>
      </c>
      <c r="H26" s="7">
        <v>1</v>
      </c>
      <c r="I26" s="7">
        <v>549715.25050829595</v>
      </c>
      <c r="J26" s="7">
        <f t="shared" si="7"/>
        <v>18368184.37152531</v>
      </c>
      <c r="K26" s="124">
        <f t="shared" si="8"/>
        <v>4.5566411180694155E-2</v>
      </c>
      <c r="M26" s="309"/>
    </row>
    <row r="27" spans="1:13" x14ac:dyDescent="0.3">
      <c r="A27" s="6" t="s">
        <v>3</v>
      </c>
      <c r="B27" s="7">
        <v>12006015.914000001</v>
      </c>
      <c r="C27" s="7">
        <v>1207965.0029972501</v>
      </c>
      <c r="D27" s="7">
        <v>288425.78274860297</v>
      </c>
      <c r="E27" s="7">
        <v>2475.1981323467198</v>
      </c>
      <c r="F27" s="7">
        <v>-515482.030516528</v>
      </c>
      <c r="G27" s="7">
        <v>-60777.847761227</v>
      </c>
      <c r="H27" s="7">
        <v>1</v>
      </c>
      <c r="I27" s="7">
        <v>-14143.402701676399</v>
      </c>
      <c r="J27" s="7">
        <f t="shared" si="7"/>
        <v>12914479.61689877</v>
      </c>
      <c r="K27" s="124">
        <f t="shared" si="8"/>
        <v>7.5667374540077548E-2</v>
      </c>
      <c r="M27" s="309"/>
    </row>
    <row r="28" spans="1:13" x14ac:dyDescent="0.3">
      <c r="A28" s="6" t="s">
        <v>4</v>
      </c>
      <c r="B28" s="7">
        <v>11869370.231000001</v>
      </c>
      <c r="C28" s="7">
        <v>402655.00180439302</v>
      </c>
      <c r="D28" s="7">
        <v>115365.772994988</v>
      </c>
      <c r="E28" s="7">
        <v>-82345.967265111598</v>
      </c>
      <c r="F28" s="7">
        <v>-415161.61538956</v>
      </c>
      <c r="G28" s="7">
        <v>123678.154736228</v>
      </c>
      <c r="H28" s="7">
        <v>1</v>
      </c>
      <c r="I28" s="7">
        <v>-510021.67305109202</v>
      </c>
      <c r="J28" s="7">
        <f t="shared" si="7"/>
        <v>11503540.904829845</v>
      </c>
      <c r="K28" s="124">
        <f t="shared" si="8"/>
        <v>-3.0821292035755676E-2</v>
      </c>
      <c r="M28" s="309"/>
    </row>
    <row r="29" spans="1:13" x14ac:dyDescent="0.3">
      <c r="A29" s="6" t="s">
        <v>5</v>
      </c>
      <c r="B29" s="7">
        <v>13244642.205</v>
      </c>
      <c r="C29" s="7">
        <v>-9.8953023552894592E-10</v>
      </c>
      <c r="D29" s="7">
        <v>-81555.330634402504</v>
      </c>
      <c r="E29" s="7">
        <v>-149760.602851673</v>
      </c>
      <c r="F29" s="7">
        <v>-485613.93258263601</v>
      </c>
      <c r="G29" s="7">
        <v>876344.83890755801</v>
      </c>
      <c r="H29" s="7">
        <v>1</v>
      </c>
      <c r="I29" s="7">
        <v>-446367.41226159502</v>
      </c>
      <c r="J29" s="7">
        <f t="shared" si="7"/>
        <v>12957690.765577253</v>
      </c>
      <c r="K29" s="124">
        <f t="shared" si="8"/>
        <v>-2.1665473100845212E-2</v>
      </c>
      <c r="M29" s="309"/>
    </row>
    <row r="30" spans="1:13" x14ac:dyDescent="0.3">
      <c r="A30" s="6" t="s">
        <v>6</v>
      </c>
      <c r="B30" s="7">
        <v>11963861.946</v>
      </c>
      <c r="C30" s="7">
        <v>0</v>
      </c>
      <c r="D30" s="7">
        <v>-355422.31420201401</v>
      </c>
      <c r="E30" s="7">
        <v>-146483.28272317501</v>
      </c>
      <c r="F30" s="7">
        <v>-306279.46921426803</v>
      </c>
      <c r="G30" s="7">
        <v>-1040827.13344964</v>
      </c>
      <c r="H30" s="7">
        <v>1</v>
      </c>
      <c r="I30" s="7">
        <v>-1176386.47518452</v>
      </c>
      <c r="J30" s="7">
        <f t="shared" si="7"/>
        <v>8938464.2712263819</v>
      </c>
      <c r="K30" s="124">
        <f t="shared" si="8"/>
        <v>-0.2528780161814832</v>
      </c>
      <c r="M30" s="309"/>
    </row>
    <row r="31" spans="1:13" x14ac:dyDescent="0.3">
      <c r="A31" s="6" t="s">
        <v>7</v>
      </c>
      <c r="B31" s="7">
        <v>11993492.367000001</v>
      </c>
      <c r="C31" s="7">
        <v>0</v>
      </c>
      <c r="D31" s="7">
        <v>-32356.897692035302</v>
      </c>
      <c r="E31" s="7">
        <v>85183.156548696003</v>
      </c>
      <c r="F31" s="7">
        <v>-238456.70122741201</v>
      </c>
      <c r="G31" s="7">
        <v>498613.31212434598</v>
      </c>
      <c r="H31" s="7">
        <v>1</v>
      </c>
      <c r="I31" s="7">
        <v>-514806.35151696001</v>
      </c>
      <c r="J31" s="7">
        <f t="shared" si="7"/>
        <v>11791669.885236634</v>
      </c>
      <c r="K31" s="124">
        <f t="shared" si="8"/>
        <v>-1.682766583640638E-2</v>
      </c>
      <c r="M31" s="27"/>
    </row>
    <row r="32" spans="1:13" x14ac:dyDescent="0.3">
      <c r="A32" s="6" t="s">
        <v>8</v>
      </c>
      <c r="B32" s="7">
        <v>14909465.299000001</v>
      </c>
      <c r="C32" s="7">
        <v>402655.00180439401</v>
      </c>
      <c r="D32" s="7">
        <v>-131882.551491725</v>
      </c>
      <c r="E32" s="7">
        <v>262100.678040681</v>
      </c>
      <c r="F32" s="7">
        <v>-411418.07479825499</v>
      </c>
      <c r="G32" s="7">
        <v>813014.83272453095</v>
      </c>
      <c r="H32" s="7">
        <v>1</v>
      </c>
      <c r="I32" s="7">
        <v>743332.032995124</v>
      </c>
      <c r="J32" s="7">
        <f t="shared" si="7"/>
        <v>16587268.218274752</v>
      </c>
      <c r="K32" s="124">
        <f t="shared" si="8"/>
        <v>0.11253273579081902</v>
      </c>
      <c r="M32" s="27"/>
    </row>
    <row r="33" spans="1:13" x14ac:dyDescent="0.3">
      <c r="A33" s="6" t="s">
        <v>9</v>
      </c>
      <c r="B33" s="7">
        <v>13383883.661</v>
      </c>
      <c r="C33" s="7">
        <v>0</v>
      </c>
      <c r="D33" s="7">
        <v>-127643.432848333</v>
      </c>
      <c r="E33" s="7">
        <v>614474.65433169599</v>
      </c>
      <c r="F33" s="7">
        <v>-329134.45983860397</v>
      </c>
      <c r="G33" s="7">
        <v>-49564.4347574071</v>
      </c>
      <c r="H33" s="7">
        <v>1</v>
      </c>
      <c r="I33" s="7">
        <v>165816.41374226299</v>
      </c>
      <c r="J33" s="7">
        <f t="shared" si="7"/>
        <v>13657833.401629614</v>
      </c>
      <c r="K33" s="124">
        <f t="shared" si="8"/>
        <v>2.0468628356946184E-2</v>
      </c>
      <c r="M33" s="27"/>
    </row>
    <row r="34" spans="1:13" x14ac:dyDescent="0.3">
      <c r="A34" s="6" t="s">
        <v>10</v>
      </c>
      <c r="B34" s="7">
        <v>14420848.77</v>
      </c>
      <c r="C34" s="7">
        <v>805310.00360878801</v>
      </c>
      <c r="D34" s="7">
        <v>128373.6209296</v>
      </c>
      <c r="E34" s="7">
        <v>927174.33028451598</v>
      </c>
      <c r="F34" s="7">
        <v>-312793.56393847498</v>
      </c>
      <c r="G34" s="7">
        <v>-628545.58999244403</v>
      </c>
      <c r="H34" s="7">
        <v>1</v>
      </c>
      <c r="I34" s="7">
        <v>-576542.80091675895</v>
      </c>
      <c r="J34" s="7">
        <f t="shared" si="7"/>
        <v>14763825.769975225</v>
      </c>
      <c r="K34" s="124">
        <f t="shared" si="8"/>
        <v>2.3783412852142805E-2</v>
      </c>
      <c r="M34" s="27"/>
    </row>
    <row r="35" spans="1:13" x14ac:dyDescent="0.3">
      <c r="A35" s="6" t="s">
        <v>11</v>
      </c>
      <c r="B35" s="7">
        <v>24136096.052999999</v>
      </c>
      <c r="C35" s="7">
        <v>603606.73355247197</v>
      </c>
      <c r="D35" s="7">
        <v>39498.3397482574</v>
      </c>
      <c r="E35" s="7">
        <v>1776991.53151173</v>
      </c>
      <c r="F35" s="7">
        <v>-318712.02460646402</v>
      </c>
      <c r="G35" s="7">
        <v>-537229.06943889696</v>
      </c>
      <c r="H35" s="7">
        <v>1</v>
      </c>
      <c r="I35" s="7">
        <v>1220384.61852756</v>
      </c>
      <c r="J35" s="7">
        <f t="shared" si="7"/>
        <v>26920637.182294659</v>
      </c>
      <c r="K35" s="146">
        <f t="shared" si="8"/>
        <v>0.11536833144764325</v>
      </c>
      <c r="M35" s="27"/>
    </row>
    <row r="36" spans="1:13" x14ac:dyDescent="0.3">
      <c r="A36" s="8" t="s">
        <v>27</v>
      </c>
      <c r="B36" s="9">
        <f>SUM(B24:B35)</f>
        <v>175861008.59</v>
      </c>
      <c r="C36" s="9">
        <f t="shared" ref="C36:J36" si="9">SUM(C24:C35)</f>
        <v>1736672.4396589443</v>
      </c>
      <c r="D36" s="9">
        <f t="shared" si="9"/>
        <v>1305608.9673900092</v>
      </c>
      <c r="E36" s="9">
        <f t="shared" si="9"/>
        <v>2378752.0880980142</v>
      </c>
      <c r="F36" s="9">
        <f t="shared" si="9"/>
        <v>-5499045.5439396724</v>
      </c>
      <c r="G36" s="9">
        <f t="shared" si="9"/>
        <v>1460274.5572170899</v>
      </c>
      <c r="H36" s="9">
        <f t="shared" si="9"/>
        <v>12</v>
      </c>
      <c r="I36" s="9">
        <f t="shared" si="9"/>
        <v>353213.98184405954</v>
      </c>
      <c r="J36" s="9">
        <f t="shared" si="9"/>
        <v>177596497.08026847</v>
      </c>
      <c r="K36" s="145">
        <f t="shared" si="8"/>
        <v>9.8685234673854261E-3</v>
      </c>
      <c r="M36" s="27"/>
    </row>
  </sheetData>
  <mergeCells count="7">
    <mergeCell ref="A22:J22"/>
    <mergeCell ref="M24:M30"/>
    <mergeCell ref="A2:J2"/>
    <mergeCell ref="B1:J1"/>
    <mergeCell ref="A19:B19"/>
    <mergeCell ref="K22:K23"/>
    <mergeCell ref="A20:B20"/>
  </mergeCells>
  <hyperlinks>
    <hyperlink ref="C23" location="'Andina Support'!B25" display="Calendar" xr:uid="{00000000-0004-0000-0200-000000000000}"/>
    <hyperlink ref="D23" location="'Andina Support'!N25" display="Economy" xr:uid="{00000000-0004-0000-0200-000001000000}"/>
    <hyperlink ref="E23" location="'Andina Support'!V25" display="Affordability" xr:uid="{00000000-0004-0000-0200-000002000000}"/>
    <hyperlink ref="F23" location="'Andina Support'!AH25" display="Competitiveness" xr:uid="{00000000-0004-0000-0200-000003000000}"/>
    <hyperlink ref="G23" location="'Andina Support'!AL25" display="Weather" xr:uid="{00000000-0004-0000-0200-000004000000}"/>
    <hyperlink ref="C3" location="'Andina Support'!B8" display="Calendar" xr:uid="{00000000-0004-0000-0200-000005000000}"/>
    <hyperlink ref="D3" location="'Andina Support'!N8" display="Economy" xr:uid="{00000000-0004-0000-0200-000006000000}"/>
    <hyperlink ref="E3" location="'Andina Support'!V8" display="Affordability" xr:uid="{00000000-0004-0000-0200-000007000000}"/>
    <hyperlink ref="F3" location="'Andina Support'!AH8" display="Competitiveness" xr:uid="{00000000-0004-0000-0200-000008000000}"/>
    <hyperlink ref="G3" location="'Andina Support'!AL8" display="Weather" xr:uid="{00000000-0004-0000-0200-000009000000}"/>
    <hyperlink ref="H3" location="'Andina Support'!AP8" display="Brand" xr:uid="{00000000-0004-0000-0200-00000A000000}"/>
    <hyperlink ref="H23" location="'Andina Support'!AP25" display="Brand" xr:uid="{00000000-0004-0000-0200-00000B000000}"/>
  </hyperlinks>
  <pageMargins left="0.7" right="0.7" top="0.75" bottom="0.75" header="0.3" footer="0.3"/>
  <pageSetup paperSize="9" orientation="portrait" horizontalDpi="300" verticalDpi="300" r:id="rId1"/>
  <headerFooter>
    <oddFooter>&amp;C&amp;1#&amp;"Calibri"&amp;10&amp;K000000Classified - Confidential</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S40"/>
  <sheetViews>
    <sheetView showGridLines="0" zoomScale="60" zoomScaleNormal="60" workbookViewId="0">
      <pane xSplit="1" ySplit="5" topLeftCell="B6" activePane="bottomRight" state="frozen"/>
      <selection pane="topRight" activeCell="B1" sqref="B1"/>
      <selection pane="bottomLeft" activeCell="A6" sqref="A6"/>
      <selection pane="bottomRight" activeCell="AN17" sqref="AN17"/>
    </sheetView>
  </sheetViews>
  <sheetFormatPr baseColWidth="10" defaultColWidth="11.5546875" defaultRowHeight="14.4" x14ac:dyDescent="0.3"/>
  <cols>
    <col min="1" max="1" width="31.109375" bestFit="1" customWidth="1"/>
    <col min="2" max="2" width="11.5546875" customWidth="1"/>
    <col min="42" max="45" width="11.5546875" style="250"/>
  </cols>
  <sheetData>
    <row r="1" spans="1:45" ht="31.5" customHeight="1" x14ac:dyDescent="0.3">
      <c r="B1" s="315" t="s">
        <v>69</v>
      </c>
      <c r="C1" s="315"/>
      <c r="D1" s="315"/>
      <c r="E1" s="315"/>
      <c r="F1" s="315" t="s">
        <v>80</v>
      </c>
      <c r="G1" s="315"/>
      <c r="H1" s="315"/>
      <c r="I1" s="315"/>
      <c r="J1" s="316" t="s">
        <v>57</v>
      </c>
      <c r="K1" s="316"/>
      <c r="L1" s="316"/>
      <c r="M1" s="316"/>
      <c r="N1" s="315" t="s">
        <v>33</v>
      </c>
      <c r="O1" s="315"/>
      <c r="P1" s="315"/>
      <c r="Q1" s="315"/>
      <c r="R1" s="316" t="s">
        <v>37</v>
      </c>
      <c r="S1" s="316"/>
      <c r="T1" s="316"/>
      <c r="U1" s="316"/>
      <c r="V1" s="315" t="s">
        <v>114</v>
      </c>
      <c r="W1" s="315"/>
      <c r="X1" s="315"/>
      <c r="Y1" s="315"/>
      <c r="Z1" s="316" t="s">
        <v>112</v>
      </c>
      <c r="AA1" s="316"/>
      <c r="AB1" s="316"/>
      <c r="AC1" s="316"/>
      <c r="AD1" s="316" t="s">
        <v>70</v>
      </c>
      <c r="AE1" s="316"/>
      <c r="AF1" s="316"/>
      <c r="AG1" s="316"/>
      <c r="AH1" s="315" t="s">
        <v>76</v>
      </c>
      <c r="AI1" s="315"/>
      <c r="AJ1" s="315"/>
      <c r="AK1" s="315"/>
      <c r="AL1" s="315" t="s">
        <v>74</v>
      </c>
      <c r="AM1" s="315"/>
      <c r="AN1" s="315"/>
      <c r="AO1" s="315"/>
      <c r="AP1" s="315" t="s">
        <v>72</v>
      </c>
      <c r="AQ1" s="315"/>
      <c r="AR1" s="315"/>
      <c r="AS1" s="315"/>
    </row>
    <row r="2" spans="1:45" x14ac:dyDescent="0.3">
      <c r="A2" s="38" t="s">
        <v>29</v>
      </c>
      <c r="B2" s="315"/>
      <c r="C2" s="315"/>
      <c r="D2" s="315"/>
      <c r="E2" s="315"/>
      <c r="F2" s="315"/>
      <c r="G2" s="315"/>
      <c r="H2" s="315"/>
      <c r="I2" s="315"/>
      <c r="J2" s="316"/>
      <c r="K2" s="316"/>
      <c r="L2" s="316"/>
      <c r="M2" s="316"/>
      <c r="N2" s="315"/>
      <c r="O2" s="315"/>
      <c r="P2" s="315"/>
      <c r="Q2" s="315"/>
      <c r="R2" s="316"/>
      <c r="S2" s="316"/>
      <c r="T2" s="316"/>
      <c r="U2" s="316"/>
      <c r="V2" s="315"/>
      <c r="W2" s="315"/>
      <c r="X2" s="315"/>
      <c r="Y2" s="315"/>
      <c r="Z2" s="316"/>
      <c r="AA2" s="316"/>
      <c r="AB2" s="316"/>
      <c r="AC2" s="316"/>
      <c r="AD2" s="316"/>
      <c r="AE2" s="316"/>
      <c r="AF2" s="316"/>
      <c r="AG2" s="316"/>
      <c r="AH2" s="315"/>
      <c r="AI2" s="315"/>
      <c r="AJ2" s="315"/>
      <c r="AK2" s="315"/>
      <c r="AL2" s="315"/>
      <c r="AM2" s="315"/>
      <c r="AN2" s="315"/>
      <c r="AO2" s="315"/>
      <c r="AP2" s="315"/>
      <c r="AQ2" s="315"/>
      <c r="AR2" s="315"/>
      <c r="AS2" s="315"/>
    </row>
    <row r="3" spans="1:45" x14ac:dyDescent="0.3">
      <c r="A3" s="32" t="s">
        <v>30</v>
      </c>
      <c r="B3" s="315"/>
      <c r="C3" s="315"/>
      <c r="D3" s="315"/>
      <c r="E3" s="315"/>
      <c r="F3" s="315"/>
      <c r="G3" s="315"/>
      <c r="H3" s="315"/>
      <c r="I3" s="315"/>
      <c r="J3" s="316"/>
      <c r="K3" s="316"/>
      <c r="L3" s="316"/>
      <c r="M3" s="316"/>
      <c r="N3" s="315"/>
      <c r="O3" s="315"/>
      <c r="P3" s="315"/>
      <c r="Q3" s="315"/>
      <c r="R3" s="316"/>
      <c r="S3" s="316"/>
      <c r="T3" s="316"/>
      <c r="U3" s="316"/>
      <c r="V3" s="315"/>
      <c r="W3" s="315"/>
      <c r="X3" s="315"/>
      <c r="Y3" s="315"/>
      <c r="Z3" s="316"/>
      <c r="AA3" s="316"/>
      <c r="AB3" s="316"/>
      <c r="AC3" s="316"/>
      <c r="AD3" s="316"/>
      <c r="AE3" s="316"/>
      <c r="AF3" s="316"/>
      <c r="AG3" s="316"/>
      <c r="AH3" s="315"/>
      <c r="AI3" s="315"/>
      <c r="AJ3" s="315"/>
      <c r="AK3" s="315"/>
      <c r="AL3" s="315"/>
      <c r="AM3" s="315"/>
      <c r="AN3" s="315"/>
      <c r="AO3" s="315"/>
      <c r="AP3" s="315"/>
      <c r="AQ3" s="315"/>
      <c r="AR3" s="315"/>
      <c r="AS3" s="315"/>
    </row>
    <row r="4" spans="1:45" ht="14.25" customHeight="1" x14ac:dyDescent="0.3">
      <c r="A4" s="85" t="s">
        <v>42</v>
      </c>
      <c r="B4" s="315"/>
      <c r="C4" s="315"/>
      <c r="D4" s="315"/>
      <c r="E4" s="315"/>
      <c r="F4" s="315"/>
      <c r="G4" s="315"/>
      <c r="H4" s="315"/>
      <c r="I4" s="315"/>
      <c r="J4" s="316"/>
      <c r="K4" s="316"/>
      <c r="L4" s="316"/>
      <c r="M4" s="316"/>
      <c r="N4" s="315"/>
      <c r="O4" s="315"/>
      <c r="P4" s="315"/>
      <c r="Q4" s="315"/>
      <c r="R4" s="316"/>
      <c r="S4" s="316"/>
      <c r="T4" s="316"/>
      <c r="U4" s="316"/>
      <c r="V4" s="315"/>
      <c r="W4" s="315"/>
      <c r="X4" s="315"/>
      <c r="Y4" s="315"/>
      <c r="Z4" s="316"/>
      <c r="AA4" s="316"/>
      <c r="AB4" s="316"/>
      <c r="AC4" s="316"/>
      <c r="AD4" s="316"/>
      <c r="AE4" s="316"/>
      <c r="AF4" s="316"/>
      <c r="AG4" s="316"/>
      <c r="AH4" s="315"/>
      <c r="AI4" s="315"/>
      <c r="AJ4" s="315"/>
      <c r="AK4" s="315"/>
      <c r="AL4" s="315"/>
      <c r="AM4" s="315"/>
      <c r="AN4" s="315"/>
      <c r="AO4" s="315"/>
      <c r="AP4" s="315"/>
      <c r="AQ4" s="315"/>
      <c r="AR4" s="315"/>
      <c r="AS4" s="315"/>
    </row>
    <row r="5" spans="1:45" s="3" customFormat="1" ht="14.25" customHeight="1" x14ac:dyDescent="0.3">
      <c r="A5" s="82" t="s">
        <v>56</v>
      </c>
      <c r="B5" s="315"/>
      <c r="C5" s="315"/>
      <c r="D5" s="315"/>
      <c r="E5" s="315"/>
      <c r="F5" s="315"/>
      <c r="G5" s="315"/>
      <c r="H5" s="315"/>
      <c r="I5" s="315"/>
      <c r="J5" s="316"/>
      <c r="K5" s="316"/>
      <c r="L5" s="316"/>
      <c r="M5" s="316"/>
      <c r="N5" s="315"/>
      <c r="O5" s="315"/>
      <c r="P5" s="315"/>
      <c r="Q5" s="315"/>
      <c r="R5" s="316"/>
      <c r="S5" s="316"/>
      <c r="T5" s="316"/>
      <c r="U5" s="316"/>
      <c r="V5" s="315"/>
      <c r="W5" s="315"/>
      <c r="X5" s="315"/>
      <c r="Y5" s="315"/>
      <c r="Z5" s="316"/>
      <c r="AA5" s="316"/>
      <c r="AB5" s="316"/>
      <c r="AC5" s="316"/>
      <c r="AD5" s="316"/>
      <c r="AE5" s="316"/>
      <c r="AF5" s="316"/>
      <c r="AG5" s="316"/>
      <c r="AH5" s="315"/>
      <c r="AI5" s="315"/>
      <c r="AJ5" s="315"/>
      <c r="AK5" s="315"/>
      <c r="AL5" s="315"/>
      <c r="AM5" s="315"/>
      <c r="AN5" s="315"/>
      <c r="AO5" s="315"/>
      <c r="AP5" s="315"/>
      <c r="AQ5" s="315"/>
      <c r="AR5" s="315"/>
      <c r="AS5" s="315"/>
    </row>
    <row r="6" spans="1:45" ht="15" thickBot="1" x14ac:dyDescent="0.35">
      <c r="A6" s="34" t="str">
        <f>"Andina - "&amp;'Andina DT'!A2:J2</f>
        <v>Andina - w47</v>
      </c>
      <c r="B6" s="22"/>
      <c r="C6" s="22"/>
      <c r="D6" s="22"/>
      <c r="E6" s="33"/>
      <c r="F6" s="33"/>
      <c r="G6" s="33"/>
      <c r="J6" s="33"/>
      <c r="K6" s="33"/>
    </row>
    <row r="7" spans="1:45" ht="15" thickBot="1" x14ac:dyDescent="0.35">
      <c r="A7" s="30"/>
      <c r="B7" s="312" t="s">
        <v>21</v>
      </c>
      <c r="C7" s="313"/>
      <c r="D7" s="313"/>
      <c r="E7" s="313"/>
      <c r="F7" s="313"/>
      <c r="G7" s="313"/>
      <c r="H7" s="313"/>
      <c r="I7" s="313"/>
      <c r="J7" s="313"/>
      <c r="K7" s="313"/>
      <c r="L7" s="313"/>
      <c r="M7" s="314"/>
      <c r="N7" s="312" t="s">
        <v>22</v>
      </c>
      <c r="O7" s="313"/>
      <c r="P7" s="313"/>
      <c r="Q7" s="314"/>
      <c r="R7" s="312" t="s">
        <v>41</v>
      </c>
      <c r="S7" s="313"/>
      <c r="T7" s="313"/>
      <c r="U7" s="314"/>
      <c r="V7" s="312" t="s">
        <v>23</v>
      </c>
      <c r="W7" s="313"/>
      <c r="X7" s="313"/>
      <c r="Y7" s="314"/>
      <c r="Z7" s="312" t="s">
        <v>40</v>
      </c>
      <c r="AA7" s="313"/>
      <c r="AB7" s="313"/>
      <c r="AC7" s="313"/>
      <c r="AD7" s="313"/>
      <c r="AE7" s="313"/>
      <c r="AF7" s="313"/>
      <c r="AG7" s="314"/>
      <c r="AH7" s="312" t="s">
        <v>24</v>
      </c>
      <c r="AI7" s="313"/>
      <c r="AJ7" s="313"/>
      <c r="AK7" s="314"/>
      <c r="AL7" s="312" t="s">
        <v>25</v>
      </c>
      <c r="AM7" s="313"/>
      <c r="AN7" s="313"/>
      <c r="AO7" s="314"/>
      <c r="AP7" s="312" t="s">
        <v>60</v>
      </c>
      <c r="AQ7" s="313"/>
      <c r="AR7" s="313"/>
      <c r="AS7" s="314"/>
    </row>
    <row r="8" spans="1:45" ht="15" thickBot="1" x14ac:dyDescent="0.35">
      <c r="A8" s="2"/>
      <c r="B8" s="312" t="s">
        <v>68</v>
      </c>
      <c r="C8" s="313"/>
      <c r="D8" s="313"/>
      <c r="E8" s="314"/>
      <c r="F8" s="312" t="s">
        <v>81</v>
      </c>
      <c r="G8" s="313"/>
      <c r="H8" s="313"/>
      <c r="I8" s="314"/>
      <c r="J8" s="312" t="s">
        <v>57</v>
      </c>
      <c r="K8" s="313"/>
      <c r="L8" s="313"/>
      <c r="M8" s="314"/>
      <c r="N8" s="312" t="s">
        <v>14</v>
      </c>
      <c r="O8" s="313"/>
      <c r="P8" s="313"/>
      <c r="Q8" s="314"/>
      <c r="R8" s="312" t="s">
        <v>35</v>
      </c>
      <c r="S8" s="313"/>
      <c r="T8" s="313"/>
      <c r="U8" s="314"/>
      <c r="V8" s="312" t="s">
        <v>113</v>
      </c>
      <c r="W8" s="313"/>
      <c r="X8" s="313"/>
      <c r="Y8" s="314"/>
      <c r="Z8" s="312" t="s">
        <v>84</v>
      </c>
      <c r="AA8" s="313"/>
      <c r="AB8" s="313"/>
      <c r="AC8" s="314"/>
      <c r="AD8" s="312" t="s">
        <v>18</v>
      </c>
      <c r="AE8" s="313"/>
      <c r="AF8" s="313"/>
      <c r="AG8" s="314"/>
      <c r="AH8" s="312" t="s">
        <v>73</v>
      </c>
      <c r="AI8" s="313"/>
      <c r="AJ8" s="313"/>
      <c r="AK8" s="314"/>
      <c r="AL8" s="312" t="s">
        <v>16</v>
      </c>
      <c r="AM8" s="313"/>
      <c r="AN8" s="313"/>
      <c r="AO8" s="314"/>
      <c r="AP8" s="312" t="s">
        <v>71</v>
      </c>
      <c r="AQ8" s="313"/>
      <c r="AR8" s="313"/>
      <c r="AS8" s="314"/>
    </row>
    <row r="9" spans="1:45" x14ac:dyDescent="0.3">
      <c r="A9" s="1"/>
      <c r="B9" s="12">
        <v>2020</v>
      </c>
      <c r="C9" s="13">
        <v>2021</v>
      </c>
      <c r="D9" s="13" t="s">
        <v>12</v>
      </c>
      <c r="E9" s="14" t="s">
        <v>13</v>
      </c>
      <c r="F9" s="12">
        <v>2020</v>
      </c>
      <c r="G9" s="13">
        <v>2021</v>
      </c>
      <c r="H9" s="13" t="s">
        <v>12</v>
      </c>
      <c r="I9" s="14" t="s">
        <v>13</v>
      </c>
      <c r="J9" s="44">
        <v>2020</v>
      </c>
      <c r="K9" s="45">
        <v>2021</v>
      </c>
      <c r="L9" s="45" t="s">
        <v>12</v>
      </c>
      <c r="M9" s="46" t="s">
        <v>13</v>
      </c>
      <c r="N9" s="12">
        <v>2020</v>
      </c>
      <c r="O9" s="13">
        <v>2021</v>
      </c>
      <c r="P9" s="13" t="s">
        <v>12</v>
      </c>
      <c r="Q9" s="14" t="s">
        <v>13</v>
      </c>
      <c r="R9" s="44">
        <v>2020</v>
      </c>
      <c r="S9" s="45">
        <v>2021</v>
      </c>
      <c r="T9" s="45" t="s">
        <v>12</v>
      </c>
      <c r="U9" s="46" t="s">
        <v>13</v>
      </c>
      <c r="V9" s="12">
        <v>2020</v>
      </c>
      <c r="W9" s="13">
        <v>2021</v>
      </c>
      <c r="X9" s="13" t="s">
        <v>12</v>
      </c>
      <c r="Y9" s="14" t="s">
        <v>13</v>
      </c>
      <c r="Z9" s="44">
        <v>2020</v>
      </c>
      <c r="AA9" s="45">
        <v>2021</v>
      </c>
      <c r="AB9" s="45" t="s">
        <v>12</v>
      </c>
      <c r="AC9" s="46" t="s">
        <v>13</v>
      </c>
      <c r="AD9" s="44">
        <v>2020</v>
      </c>
      <c r="AE9" s="45">
        <v>2021</v>
      </c>
      <c r="AF9" s="45" t="s">
        <v>12</v>
      </c>
      <c r="AG9" s="46" t="s">
        <v>13</v>
      </c>
      <c r="AH9" s="12">
        <v>2020</v>
      </c>
      <c r="AI9" s="13">
        <v>2021</v>
      </c>
      <c r="AJ9" s="13" t="s">
        <v>12</v>
      </c>
      <c r="AK9" s="14" t="s">
        <v>13</v>
      </c>
      <c r="AL9" s="12">
        <v>2020</v>
      </c>
      <c r="AM9" s="13">
        <v>2021</v>
      </c>
      <c r="AN9" s="13" t="s">
        <v>12</v>
      </c>
      <c r="AO9" s="14" t="s">
        <v>13</v>
      </c>
      <c r="AP9" s="12">
        <v>2020</v>
      </c>
      <c r="AQ9" s="13">
        <v>2021</v>
      </c>
      <c r="AR9" s="13" t="s">
        <v>12</v>
      </c>
      <c r="AS9" s="14" t="s">
        <v>13</v>
      </c>
    </row>
    <row r="10" spans="1:45" x14ac:dyDescent="0.3">
      <c r="A10" s="1" t="s">
        <v>0</v>
      </c>
      <c r="B10" s="23">
        <v>25</v>
      </c>
      <c r="C10" s="24">
        <v>24</v>
      </c>
      <c r="D10" s="24">
        <f>C10-B10</f>
        <v>-1</v>
      </c>
      <c r="E10" s="17">
        <f>(C10-B10)/B10</f>
        <v>-0.04</v>
      </c>
      <c r="F10" s="15">
        <v>0.83035714275000005</v>
      </c>
      <c r="G10" s="16">
        <v>0.80952380925</v>
      </c>
      <c r="H10" s="16">
        <f>G10-F10</f>
        <v>-2.0833333500000051E-2</v>
      </c>
      <c r="I10" s="17">
        <f>(G10-F10)/F10</f>
        <v>-2.50896059387213E-2</v>
      </c>
      <c r="J10" s="76">
        <v>21</v>
      </c>
      <c r="K10" s="77">
        <v>20</v>
      </c>
      <c r="L10" s="77">
        <f>K10-J10</f>
        <v>-1</v>
      </c>
      <c r="M10" s="50">
        <f>(K10-J10)/J10</f>
        <v>-4.7619047619047616E-2</v>
      </c>
      <c r="N10" s="15">
        <v>33.1</v>
      </c>
      <c r="O10" s="16">
        <v>43.03</v>
      </c>
      <c r="P10" s="16">
        <f>O10-N10</f>
        <v>9.93</v>
      </c>
      <c r="Q10" s="17">
        <f>(O10-N10)/N10</f>
        <v>0.3</v>
      </c>
      <c r="R10" s="152">
        <v>2.9062409093474573E-2</v>
      </c>
      <c r="S10" s="153">
        <v>2.2528949260559816E-2</v>
      </c>
      <c r="T10" s="49">
        <f>S10-R10</f>
        <v>-6.5334598329147564E-3</v>
      </c>
      <c r="U10" s="50">
        <f t="shared" ref="U10:U22" si="0">(S10-R10)/R10</f>
        <v>-0.22480792324892723</v>
      </c>
      <c r="V10" s="15">
        <v>150.2265246</v>
      </c>
      <c r="W10" s="16">
        <v>157.6852519</v>
      </c>
      <c r="X10" s="16">
        <f>W10-V10</f>
        <v>7.4587272999999925</v>
      </c>
      <c r="Y10" s="17">
        <f>(W10-V10)/V10</f>
        <v>4.9649869221563503E-2</v>
      </c>
      <c r="Z10" s="55">
        <v>210.996031601174</v>
      </c>
      <c r="AA10" s="49">
        <v>334.78667887555201</v>
      </c>
      <c r="AB10" s="49">
        <f t="shared" ref="AB10:AB22" si="1">AA10-Z10</f>
        <v>123.79064727437802</v>
      </c>
      <c r="AC10" s="50">
        <f t="shared" ref="AC10:AC22" si="2">(AA10-Z10)/Z10</f>
        <v>0.58669656644712576</v>
      </c>
      <c r="AD10" s="55">
        <v>1.4045191564898301</v>
      </c>
      <c r="AE10" s="49">
        <v>2.12313247312039</v>
      </c>
      <c r="AF10" s="49">
        <f>AE10-AD10</f>
        <v>0.71861331663055994</v>
      </c>
      <c r="AG10" s="50">
        <f>(AE10-AD10)/AD10</f>
        <v>0.51164365634322573</v>
      </c>
      <c r="AH10" s="15">
        <v>1.2953688370000001</v>
      </c>
      <c r="AI10" s="16">
        <v>1.407971316</v>
      </c>
      <c r="AJ10" s="16">
        <f>AI10-AH10</f>
        <v>0.11260247899999998</v>
      </c>
      <c r="AK10" s="17">
        <f>(AI10-AH10)/AH10</f>
        <v>8.6926963026824747E-2</v>
      </c>
      <c r="AL10" s="15">
        <v>30.726466492499998</v>
      </c>
      <c r="AM10" s="16">
        <v>31.470912755000001</v>
      </c>
      <c r="AN10" s="16">
        <f>AM10-AL10</f>
        <v>0.74444626250000212</v>
      </c>
      <c r="AO10" s="17">
        <f>(AM10-AL10)/AL10</f>
        <v>2.422817679610877E-2</v>
      </c>
      <c r="AP10" s="15">
        <v>30.726466492499998</v>
      </c>
      <c r="AQ10" s="16">
        <v>31.470912755000001</v>
      </c>
      <c r="AR10" s="16">
        <f>AQ10-AP10</f>
        <v>0.74444626250000212</v>
      </c>
      <c r="AS10" s="17">
        <f>(AQ10-AP10)/AP10</f>
        <v>2.422817679610877E-2</v>
      </c>
    </row>
    <row r="11" spans="1:45" x14ac:dyDescent="0.3">
      <c r="A11" s="1" t="s">
        <v>1</v>
      </c>
      <c r="B11" s="23">
        <v>28</v>
      </c>
      <c r="C11" s="24">
        <v>28</v>
      </c>
      <c r="D11" s="24">
        <f t="shared" ref="D11:D22" si="3">C11-B11</f>
        <v>0</v>
      </c>
      <c r="E11" s="17">
        <f t="shared" ref="E11:E22" si="4">(C11-B11)/B11</f>
        <v>0</v>
      </c>
      <c r="F11" s="15">
        <v>0.85714285700000004</v>
      </c>
      <c r="G11" s="16">
        <v>0.85714285700000004</v>
      </c>
      <c r="H11" s="16">
        <f t="shared" ref="H11:H22" si="5">G11-F11</f>
        <v>0</v>
      </c>
      <c r="I11" s="17">
        <f t="shared" ref="I11:I22" si="6">(G11-F11)/F11</f>
        <v>0</v>
      </c>
      <c r="J11" s="76">
        <v>24</v>
      </c>
      <c r="K11" s="77">
        <v>24</v>
      </c>
      <c r="L11" s="77">
        <f t="shared" ref="L11:L22" si="7">K11-J11</f>
        <v>0</v>
      </c>
      <c r="M11" s="50">
        <f t="shared" ref="M11:M22" si="8">(K11-J11)/J11</f>
        <v>0</v>
      </c>
      <c r="N11" s="15">
        <v>36.04</v>
      </c>
      <c r="O11" s="16">
        <v>42.73</v>
      </c>
      <c r="P11" s="16">
        <f t="shared" ref="P11:P22" si="9">O11-N11</f>
        <v>6.6899999999999977</v>
      </c>
      <c r="Q11" s="17">
        <f t="shared" ref="Q11:Q22" si="10">(O11-N11)/N11</f>
        <v>0.18562708102108763</v>
      </c>
      <c r="R11" s="152">
        <v>3.7656221899571962E-2</v>
      </c>
      <c r="S11" s="153">
        <v>2.0136293736429556E-2</v>
      </c>
      <c r="T11" s="49">
        <f t="shared" ref="T11:T22" si="11">S11-R11</f>
        <v>-1.7519928163142406E-2</v>
      </c>
      <c r="U11" s="50">
        <f t="shared" si="0"/>
        <v>-0.46525985028098515</v>
      </c>
      <c r="V11" s="15">
        <v>152.72400239999999</v>
      </c>
      <c r="W11" s="16">
        <v>157.77096839999999</v>
      </c>
      <c r="X11" s="16">
        <f t="shared" ref="X11:X22" si="12">W11-V11</f>
        <v>5.0469659999999976</v>
      </c>
      <c r="Y11" s="17">
        <f t="shared" ref="Y11:Y22" si="13">(W11-V11)/V11</f>
        <v>3.3046318330379208E-2</v>
      </c>
      <c r="Z11" s="55">
        <v>220.29538923163599</v>
      </c>
      <c r="AA11" s="49">
        <v>350.377224913742</v>
      </c>
      <c r="AB11" s="49">
        <f t="shared" si="1"/>
        <v>130.081835682106</v>
      </c>
      <c r="AC11" s="50">
        <f t="shared" si="2"/>
        <v>0.59048823552692553</v>
      </c>
      <c r="AD11" s="55">
        <v>1.44244117371506</v>
      </c>
      <c r="AE11" s="49">
        <v>2.2207965668839198</v>
      </c>
      <c r="AF11" s="49">
        <f t="shared" ref="AF11:AF22" si="14">AE11-AD11</f>
        <v>0.77835539316885982</v>
      </c>
      <c r="AG11" s="50">
        <f t="shared" ref="AG11:AG22" si="15">(AE11-AD11)/AD11</f>
        <v>0.53960979993671221</v>
      </c>
      <c r="AH11" s="15">
        <v>1.321539614</v>
      </c>
      <c r="AI11" s="16">
        <v>1.4471633690000001</v>
      </c>
      <c r="AJ11" s="16">
        <f t="shared" ref="AJ11:AJ22" si="16">AI11-AH11</f>
        <v>0.12562375500000011</v>
      </c>
      <c r="AK11" s="17">
        <f t="shared" ref="AK11:AK22" si="17">(AI11-AH11)/AH11</f>
        <v>9.5058637417432812E-2</v>
      </c>
      <c r="AL11" s="15">
        <v>30.926132602500001</v>
      </c>
      <c r="AM11" s="16">
        <v>31.744990274999999</v>
      </c>
      <c r="AN11" s="16">
        <f t="shared" ref="AN11:AN22" si="18">AM11-AL11</f>
        <v>0.8188576724999983</v>
      </c>
      <c r="AO11" s="17">
        <f t="shared" ref="AO11:AO22" si="19">(AM11-AL11)/AL11</f>
        <v>2.6477855573632365E-2</v>
      </c>
      <c r="AP11" s="15">
        <v>30.926132602500001</v>
      </c>
      <c r="AQ11" s="16">
        <v>31.744990274999999</v>
      </c>
      <c r="AR11" s="16">
        <f t="shared" ref="AR11:AR22" si="20">AQ11-AP11</f>
        <v>0.8188576724999983</v>
      </c>
      <c r="AS11" s="17">
        <f t="shared" ref="AS11:AS22" si="21">(AQ11-AP11)/AP11</f>
        <v>2.6477855573632365E-2</v>
      </c>
    </row>
    <row r="12" spans="1:45" x14ac:dyDescent="0.3">
      <c r="A12" s="1" t="s">
        <v>2</v>
      </c>
      <c r="B12" s="23">
        <v>35</v>
      </c>
      <c r="C12" s="24">
        <v>35</v>
      </c>
      <c r="D12" s="24">
        <f t="shared" si="3"/>
        <v>0</v>
      </c>
      <c r="E12" s="17">
        <f t="shared" si="4"/>
        <v>0</v>
      </c>
      <c r="F12" s="15">
        <v>0.79999999980000003</v>
      </c>
      <c r="G12" s="16">
        <v>0.74285714260000002</v>
      </c>
      <c r="H12" s="16">
        <f t="shared" si="5"/>
        <v>-5.7142857200000008E-2</v>
      </c>
      <c r="I12" s="17">
        <f t="shared" si="6"/>
        <v>-7.1428571517857156E-2</v>
      </c>
      <c r="J12" s="76">
        <v>28</v>
      </c>
      <c r="K12" s="77">
        <v>26</v>
      </c>
      <c r="L12" s="77">
        <f t="shared" si="7"/>
        <v>-2</v>
      </c>
      <c r="M12" s="50">
        <f t="shared" si="8"/>
        <v>-7.1428571428571425E-2</v>
      </c>
      <c r="N12" s="15">
        <v>34.79</v>
      </c>
      <c r="O12" s="16">
        <v>41.23</v>
      </c>
      <c r="P12" s="16">
        <f t="shared" si="9"/>
        <v>6.4399999999999977</v>
      </c>
      <c r="Q12" s="17">
        <f t="shared" si="10"/>
        <v>0.18511066398390336</v>
      </c>
      <c r="R12" s="152">
        <v>4.6795401882895993E-2</v>
      </c>
      <c r="S12" s="153">
        <v>3.3434686436722538E-2</v>
      </c>
      <c r="T12" s="49">
        <f t="shared" si="11"/>
        <v>-1.3360715446173455E-2</v>
      </c>
      <c r="U12" s="50">
        <f t="shared" si="0"/>
        <v>-0.28551342457979567</v>
      </c>
      <c r="V12" s="15">
        <v>153.4768272</v>
      </c>
      <c r="W12" s="16">
        <v>154.22382049999999</v>
      </c>
      <c r="X12" s="16">
        <f t="shared" si="12"/>
        <v>0.74699329999998554</v>
      </c>
      <c r="Y12" s="17">
        <f t="shared" si="13"/>
        <v>4.8671406206916004E-3</v>
      </c>
      <c r="Z12" s="55">
        <v>229.35102138256499</v>
      </c>
      <c r="AA12" s="49">
        <v>350.377224913742</v>
      </c>
      <c r="AB12" s="49">
        <f t="shared" si="1"/>
        <v>121.026203531177</v>
      </c>
      <c r="AC12" s="50">
        <f t="shared" si="2"/>
        <v>0.52768983892729804</v>
      </c>
      <c r="AD12" s="55">
        <v>1.4943690559688001</v>
      </c>
      <c r="AE12" s="49">
        <v>2.2718748879222499</v>
      </c>
      <c r="AF12" s="49">
        <f t="shared" si="14"/>
        <v>0.7775058319534498</v>
      </c>
      <c r="AG12" s="50">
        <f t="shared" si="15"/>
        <v>0.52029037194523042</v>
      </c>
      <c r="AH12" s="15">
        <v>1.3360827740000001</v>
      </c>
      <c r="AI12" s="16">
        <v>1.403946495</v>
      </c>
      <c r="AJ12" s="16">
        <f t="shared" si="16"/>
        <v>6.7863720999999932E-2</v>
      </c>
      <c r="AK12" s="17">
        <f t="shared" si="17"/>
        <v>5.0793051389194786E-2</v>
      </c>
      <c r="AL12" s="15">
        <v>28.206274698000001</v>
      </c>
      <c r="AM12" s="16">
        <v>30.783296016000001</v>
      </c>
      <c r="AN12" s="16">
        <f t="shared" si="18"/>
        <v>2.5770213179999999</v>
      </c>
      <c r="AO12" s="17">
        <f t="shared" si="19"/>
        <v>9.1363405681599161E-2</v>
      </c>
      <c r="AP12" s="15">
        <v>28.206274698000001</v>
      </c>
      <c r="AQ12" s="16">
        <v>30.783296016000001</v>
      </c>
      <c r="AR12" s="16">
        <f t="shared" si="20"/>
        <v>2.5770213179999999</v>
      </c>
      <c r="AS12" s="17">
        <f t="shared" si="21"/>
        <v>9.1363405681599161E-2</v>
      </c>
    </row>
    <row r="13" spans="1:45" x14ac:dyDescent="0.3">
      <c r="A13" s="1" t="s">
        <v>3</v>
      </c>
      <c r="B13" s="23">
        <v>28</v>
      </c>
      <c r="C13" s="24">
        <v>28</v>
      </c>
      <c r="D13" s="24">
        <f t="shared" si="3"/>
        <v>0</v>
      </c>
      <c r="E13" s="17">
        <f t="shared" si="4"/>
        <v>0</v>
      </c>
      <c r="F13" s="15">
        <v>0.67857142846428498</v>
      </c>
      <c r="G13" s="16">
        <v>0.7857142855</v>
      </c>
      <c r="H13" s="16">
        <f t="shared" si="5"/>
        <v>0.10714285703571502</v>
      </c>
      <c r="I13" s="17">
        <f t="shared" si="6"/>
        <v>0.15789473670914253</v>
      </c>
      <c r="J13" s="76">
        <v>19</v>
      </c>
      <c r="K13" s="77">
        <v>22</v>
      </c>
      <c r="L13" s="77">
        <f t="shared" si="7"/>
        <v>3</v>
      </c>
      <c r="M13" s="50">
        <f t="shared" si="8"/>
        <v>0.15789473684210525</v>
      </c>
      <c r="N13" s="15">
        <v>34.409999999999997</v>
      </c>
      <c r="O13" s="16">
        <v>39.28</v>
      </c>
      <c r="P13" s="16">
        <f t="shared" si="9"/>
        <v>4.8700000000000045</v>
      </c>
      <c r="Q13" s="17">
        <f t="shared" si="10"/>
        <v>0.14152862539959329</v>
      </c>
      <c r="R13" s="152">
        <v>3.444697949233122E-2</v>
      </c>
      <c r="S13" s="153">
        <v>1.4965725908725691E-2</v>
      </c>
      <c r="T13" s="49">
        <f t="shared" si="11"/>
        <v>-1.9481253583605529E-2</v>
      </c>
      <c r="U13" s="50">
        <f t="shared" si="0"/>
        <v>-0.56554315852112824</v>
      </c>
      <c r="V13" s="15">
        <v>154.5693991</v>
      </c>
      <c r="W13" s="16">
        <v>154.5328863</v>
      </c>
      <c r="X13" s="16">
        <f t="shared" si="12"/>
        <v>-3.6512799999997014E-2</v>
      </c>
      <c r="Y13" s="17">
        <f t="shared" si="13"/>
        <v>-2.3622269487102518E-4</v>
      </c>
      <c r="Z13" s="55">
        <v>237.45127144556901</v>
      </c>
      <c r="AA13" s="49">
        <v>350.377224913742</v>
      </c>
      <c r="AB13" s="49">
        <f t="shared" si="1"/>
        <v>112.92595346817299</v>
      </c>
      <c r="AC13" s="50">
        <f t="shared" si="2"/>
        <v>0.47557527395282456</v>
      </c>
      <c r="AD13" s="55">
        <v>1.53621138953592</v>
      </c>
      <c r="AE13" s="49">
        <v>2.2673311381464099</v>
      </c>
      <c r="AF13" s="49">
        <f t="shared" si="14"/>
        <v>0.73111974861048989</v>
      </c>
      <c r="AG13" s="50">
        <f t="shared" si="15"/>
        <v>0.47592392140209083</v>
      </c>
      <c r="AH13" s="15">
        <v>1.3583610020000001</v>
      </c>
      <c r="AI13" s="16">
        <v>1.4352446539999999</v>
      </c>
      <c r="AJ13" s="16">
        <f t="shared" si="16"/>
        <v>7.6883651999999802E-2</v>
      </c>
      <c r="AK13" s="17">
        <f t="shared" si="17"/>
        <v>5.6600308671111127E-2</v>
      </c>
      <c r="AL13" s="15">
        <v>26.548912207499999</v>
      </c>
      <c r="AM13" s="16">
        <v>26.364061732500002</v>
      </c>
      <c r="AN13" s="16">
        <f t="shared" si="18"/>
        <v>-0.18485047499999752</v>
      </c>
      <c r="AO13" s="17">
        <f t="shared" si="19"/>
        <v>-6.9626383768664445E-3</v>
      </c>
      <c r="AP13" s="15">
        <v>26.548912207499999</v>
      </c>
      <c r="AQ13" s="16">
        <v>26.364061732500002</v>
      </c>
      <c r="AR13" s="16">
        <f t="shared" si="20"/>
        <v>-0.18485047499999752</v>
      </c>
      <c r="AS13" s="17">
        <f t="shared" si="21"/>
        <v>-6.9626383768664445E-3</v>
      </c>
    </row>
    <row r="14" spans="1:45" x14ac:dyDescent="0.3">
      <c r="A14" s="1" t="s">
        <v>4</v>
      </c>
      <c r="B14" s="23">
        <v>28</v>
      </c>
      <c r="C14" s="24">
        <v>28</v>
      </c>
      <c r="D14" s="24">
        <f t="shared" si="3"/>
        <v>0</v>
      </c>
      <c r="E14" s="17">
        <f t="shared" si="4"/>
        <v>0</v>
      </c>
      <c r="F14" s="15">
        <v>0.7857142855</v>
      </c>
      <c r="G14" s="16">
        <v>0.82142857125000002</v>
      </c>
      <c r="H14" s="16">
        <f t="shared" si="5"/>
        <v>3.5714285750000019E-2</v>
      </c>
      <c r="I14" s="17">
        <f t="shared" si="6"/>
        <v>4.5454545512396721E-2</v>
      </c>
      <c r="J14" s="76">
        <v>22</v>
      </c>
      <c r="K14" s="77">
        <v>23</v>
      </c>
      <c r="L14" s="77">
        <f t="shared" si="7"/>
        <v>1</v>
      </c>
      <c r="M14" s="50">
        <f t="shared" si="8"/>
        <v>4.5454545454545456E-2</v>
      </c>
      <c r="N14" s="15">
        <v>36.47</v>
      </c>
      <c r="O14" s="16">
        <v>38.42</v>
      </c>
      <c r="P14" s="16">
        <f t="shared" si="9"/>
        <v>1.9500000000000028</v>
      </c>
      <c r="Q14" s="17">
        <f t="shared" si="10"/>
        <v>5.3468604332328022E-2</v>
      </c>
      <c r="R14" s="152">
        <v>3.0590696999836187E-2</v>
      </c>
      <c r="S14" s="153">
        <v>1.5427362512386189E-2</v>
      </c>
      <c r="T14" s="49">
        <f t="shared" si="11"/>
        <v>-1.5163334487449998E-2</v>
      </c>
      <c r="U14" s="50">
        <f t="shared" si="0"/>
        <v>-0.49568450459076485</v>
      </c>
      <c r="V14" s="15">
        <v>153.62784769999999</v>
      </c>
      <c r="W14" s="16">
        <v>154.8425714</v>
      </c>
      <c r="X14" s="16">
        <f t="shared" si="12"/>
        <v>1.2147237000000075</v>
      </c>
      <c r="Y14" s="17">
        <f t="shared" si="13"/>
        <v>7.90692389554324E-3</v>
      </c>
      <c r="Z14" s="55">
        <v>245.91705313941301</v>
      </c>
      <c r="AA14" s="49">
        <v>350.377224913742</v>
      </c>
      <c r="AB14" s="49">
        <f t="shared" si="1"/>
        <v>104.46017177432898</v>
      </c>
      <c r="AC14" s="50">
        <f t="shared" si="2"/>
        <v>0.42477807228402903</v>
      </c>
      <c r="AD14" s="55">
        <v>1.60073226789643</v>
      </c>
      <c r="AE14" s="49">
        <v>2.26279647587012</v>
      </c>
      <c r="AF14" s="49">
        <f t="shared" si="14"/>
        <v>0.66206420797369003</v>
      </c>
      <c r="AG14" s="50">
        <f t="shared" si="15"/>
        <v>0.41360083834864425</v>
      </c>
      <c r="AH14" s="15">
        <v>1.366894998</v>
      </c>
      <c r="AI14" s="16">
        <v>1.428815956</v>
      </c>
      <c r="AJ14" s="16">
        <f t="shared" si="16"/>
        <v>6.192095799999997E-2</v>
      </c>
      <c r="AK14" s="17">
        <f t="shared" si="17"/>
        <v>4.5300449625319331E-2</v>
      </c>
      <c r="AL14" s="15">
        <v>21.863471244999999</v>
      </c>
      <c r="AM14" s="16">
        <v>23.355679117499999</v>
      </c>
      <c r="AN14" s="16">
        <f t="shared" si="18"/>
        <v>1.4922078724999999</v>
      </c>
      <c r="AO14" s="17">
        <f t="shared" si="19"/>
        <v>6.825118736994959E-2</v>
      </c>
      <c r="AP14" s="15">
        <v>21.863471244999999</v>
      </c>
      <c r="AQ14" s="16">
        <v>23.355679117499999</v>
      </c>
      <c r="AR14" s="16">
        <f t="shared" si="20"/>
        <v>1.4922078724999999</v>
      </c>
      <c r="AS14" s="17">
        <f t="shared" si="21"/>
        <v>6.825118736994959E-2</v>
      </c>
    </row>
    <row r="15" spans="1:45" x14ac:dyDescent="0.3">
      <c r="A15" s="1" t="s">
        <v>5</v>
      </c>
      <c r="B15" s="23">
        <v>35</v>
      </c>
      <c r="C15" s="24">
        <v>35</v>
      </c>
      <c r="D15" s="24">
        <f t="shared" si="3"/>
        <v>0</v>
      </c>
      <c r="E15" s="17">
        <f t="shared" si="4"/>
        <v>0</v>
      </c>
      <c r="F15" s="15">
        <v>0.77142857119999997</v>
      </c>
      <c r="G15" s="16">
        <v>0.77142857119999997</v>
      </c>
      <c r="H15" s="16">
        <f t="shared" si="5"/>
        <v>0</v>
      </c>
      <c r="I15" s="17">
        <f t="shared" si="6"/>
        <v>0</v>
      </c>
      <c r="J15" s="76">
        <v>27</v>
      </c>
      <c r="K15" s="77">
        <v>27</v>
      </c>
      <c r="L15" s="77">
        <f t="shared" si="7"/>
        <v>0</v>
      </c>
      <c r="M15" s="50">
        <f t="shared" si="8"/>
        <v>0</v>
      </c>
      <c r="N15" s="15">
        <v>40.57</v>
      </c>
      <c r="O15" s="16">
        <v>39.47</v>
      </c>
      <c r="P15" s="16">
        <f t="shared" si="9"/>
        <v>-1.1000000000000014</v>
      </c>
      <c r="Q15" s="17">
        <f t="shared" si="10"/>
        <v>-2.7113630761646572E-2</v>
      </c>
      <c r="R15" s="152">
        <v>2.7180054023995259E-2</v>
      </c>
      <c r="S15" s="153">
        <v>2.2435391591276943E-2</v>
      </c>
      <c r="T15" s="49">
        <f t="shared" si="11"/>
        <v>-4.7446624327183162E-3</v>
      </c>
      <c r="U15" s="50">
        <f t="shared" si="0"/>
        <v>-0.17456412811135713</v>
      </c>
      <c r="V15" s="15">
        <v>152.92053279999999</v>
      </c>
      <c r="W15" s="16">
        <v>154.6878835</v>
      </c>
      <c r="X15" s="16">
        <f t="shared" si="12"/>
        <v>1.7673507000000086</v>
      </c>
      <c r="Y15" s="17">
        <f t="shared" si="13"/>
        <v>1.1557314558349543E-2</v>
      </c>
      <c r="Z15" s="55">
        <v>251.14923694378999</v>
      </c>
      <c r="AA15" s="49">
        <v>350.377224913742</v>
      </c>
      <c r="AB15" s="49">
        <f t="shared" si="1"/>
        <v>99.227987969952011</v>
      </c>
      <c r="AC15" s="50">
        <f t="shared" si="2"/>
        <v>0.39509571750026995</v>
      </c>
      <c r="AD15" s="55">
        <v>1.6423513068617399</v>
      </c>
      <c r="AE15" s="49">
        <v>2.2650592723459901</v>
      </c>
      <c r="AF15" s="49">
        <f t="shared" si="14"/>
        <v>0.62270796548425023</v>
      </c>
      <c r="AG15" s="50">
        <f t="shared" si="15"/>
        <v>0.37915637347659897</v>
      </c>
      <c r="AH15" s="15">
        <v>1.3708728729999999</v>
      </c>
      <c r="AI15" s="16">
        <v>1.428815956</v>
      </c>
      <c r="AJ15" s="16">
        <f t="shared" si="16"/>
        <v>5.7943083000000062E-2</v>
      </c>
      <c r="AK15" s="17">
        <f t="shared" si="17"/>
        <v>4.226729125742943E-2</v>
      </c>
      <c r="AL15" s="15">
        <v>17.837220252000002</v>
      </c>
      <c r="AM15" s="16">
        <v>20.273258802000001</v>
      </c>
      <c r="AN15" s="16">
        <f t="shared" si="18"/>
        <v>2.4360385499999992</v>
      </c>
      <c r="AO15" s="17">
        <f t="shared" si="19"/>
        <v>0.13657052587702717</v>
      </c>
      <c r="AP15" s="15">
        <v>17.837220252000002</v>
      </c>
      <c r="AQ15" s="16">
        <v>20.273258802000001</v>
      </c>
      <c r="AR15" s="16">
        <f t="shared" si="20"/>
        <v>2.4360385499999992</v>
      </c>
      <c r="AS15" s="17">
        <f t="shared" si="21"/>
        <v>0.13657052587702717</v>
      </c>
    </row>
    <row r="16" spans="1:45" x14ac:dyDescent="0.3">
      <c r="A16" s="1" t="s">
        <v>6</v>
      </c>
      <c r="B16" s="23">
        <v>28</v>
      </c>
      <c r="C16" s="24">
        <v>28</v>
      </c>
      <c r="D16" s="24">
        <f t="shared" si="3"/>
        <v>0</v>
      </c>
      <c r="E16" s="17">
        <f t="shared" si="4"/>
        <v>0</v>
      </c>
      <c r="F16" s="15">
        <v>0.7857142855</v>
      </c>
      <c r="G16" s="16">
        <v>0.7857142855</v>
      </c>
      <c r="H16" s="16">
        <f t="shared" si="5"/>
        <v>0</v>
      </c>
      <c r="I16" s="17">
        <f t="shared" si="6"/>
        <v>0</v>
      </c>
      <c r="J16" s="76">
        <v>22</v>
      </c>
      <c r="K16" s="77">
        <v>22</v>
      </c>
      <c r="L16" s="77">
        <f t="shared" si="7"/>
        <v>0</v>
      </c>
      <c r="M16" s="50">
        <f t="shared" si="8"/>
        <v>0</v>
      </c>
      <c r="N16" s="15">
        <v>44.18</v>
      </c>
      <c r="O16" s="16">
        <v>38.18</v>
      </c>
      <c r="P16" s="16">
        <f t="shared" si="9"/>
        <v>-6</v>
      </c>
      <c r="Q16" s="17">
        <f t="shared" si="10"/>
        <v>-0.13580805794477138</v>
      </c>
      <c r="R16" s="152">
        <v>2.1978655386921009E-2</v>
      </c>
      <c r="S16" s="153">
        <v>1.9341946456512993E-2</v>
      </c>
      <c r="T16" s="49">
        <f t="shared" si="11"/>
        <v>-2.636708930408016E-3</v>
      </c>
      <c r="U16" s="50">
        <f t="shared" si="0"/>
        <v>-0.11996679887783585</v>
      </c>
      <c r="V16" s="15">
        <v>150.5419047</v>
      </c>
      <c r="W16" s="16">
        <v>152.7027478</v>
      </c>
      <c r="X16" s="16">
        <f t="shared" si="12"/>
        <v>2.1608430999999939</v>
      </c>
      <c r="Y16" s="17">
        <f t="shared" si="13"/>
        <v>1.4353764849103797E-2</v>
      </c>
      <c r="Z16" s="55">
        <v>257.874129745505</v>
      </c>
      <c r="AA16" s="49">
        <v>350.377224913742</v>
      </c>
      <c r="AB16" s="49">
        <f t="shared" si="1"/>
        <v>92.503095168236996</v>
      </c>
      <c r="AC16" s="50">
        <f t="shared" si="2"/>
        <v>0.35871413413795306</v>
      </c>
      <c r="AD16" s="55">
        <v>1.7129724130568</v>
      </c>
      <c r="AE16" s="49">
        <v>2.2945050428864802</v>
      </c>
      <c r="AF16" s="49">
        <f t="shared" si="14"/>
        <v>0.58153262982968013</v>
      </c>
      <c r="AG16" s="50">
        <f t="shared" si="15"/>
        <v>0.33948744614744547</v>
      </c>
      <c r="AH16" s="15">
        <v>1.3831346659999999</v>
      </c>
      <c r="AI16" s="16">
        <v>1.428815956</v>
      </c>
      <c r="AJ16" s="16">
        <f t="shared" si="16"/>
        <v>4.5681290000000097E-2</v>
      </c>
      <c r="AK16" s="17">
        <f t="shared" si="17"/>
        <v>3.3027362499784316E-2</v>
      </c>
      <c r="AL16" s="15">
        <v>16.7924351375</v>
      </c>
      <c r="AM16" s="16">
        <v>14.834197359999999</v>
      </c>
      <c r="AN16" s="16">
        <f t="shared" si="18"/>
        <v>-1.9582377775000008</v>
      </c>
      <c r="AO16" s="17">
        <f t="shared" si="19"/>
        <v>-0.11661428264962985</v>
      </c>
      <c r="AP16" s="15">
        <v>16.7924351375</v>
      </c>
      <c r="AQ16" s="16">
        <v>14.834197359999999</v>
      </c>
      <c r="AR16" s="16">
        <f t="shared" si="20"/>
        <v>-1.9582377775000008</v>
      </c>
      <c r="AS16" s="17">
        <f t="shared" si="21"/>
        <v>-0.11661428264962985</v>
      </c>
    </row>
    <row r="17" spans="1:45" x14ac:dyDescent="0.3">
      <c r="A17" s="1" t="s">
        <v>7</v>
      </c>
      <c r="B17" s="23">
        <v>28</v>
      </c>
      <c r="C17" s="24">
        <v>28</v>
      </c>
      <c r="D17" s="24">
        <f t="shared" si="3"/>
        <v>0</v>
      </c>
      <c r="E17" s="17">
        <f t="shared" si="4"/>
        <v>0</v>
      </c>
      <c r="F17" s="15">
        <v>0.82142857125000002</v>
      </c>
      <c r="G17" s="16">
        <v>0.82142857125000002</v>
      </c>
      <c r="H17" s="16">
        <f t="shared" si="5"/>
        <v>0</v>
      </c>
      <c r="I17" s="17">
        <f t="shared" si="6"/>
        <v>0</v>
      </c>
      <c r="J17" s="76">
        <v>23</v>
      </c>
      <c r="K17" s="77">
        <v>23</v>
      </c>
      <c r="L17" s="77">
        <f t="shared" si="7"/>
        <v>0</v>
      </c>
      <c r="M17" s="50">
        <f t="shared" si="8"/>
        <v>0</v>
      </c>
      <c r="N17" s="15">
        <v>41.86</v>
      </c>
      <c r="O17" s="16">
        <v>41.31</v>
      </c>
      <c r="P17" s="16">
        <f t="shared" si="9"/>
        <v>-0.54999999999999716</v>
      </c>
      <c r="Q17" s="17">
        <f t="shared" si="10"/>
        <v>-1.3139034878165244E-2</v>
      </c>
      <c r="R17" s="152">
        <v>3.9539857870486861E-2</v>
      </c>
      <c r="S17" s="153">
        <v>2.7001103590661213E-2</v>
      </c>
      <c r="T17" s="49">
        <f t="shared" si="11"/>
        <v>-1.2538754279825648E-2</v>
      </c>
      <c r="U17" s="50">
        <f t="shared" si="0"/>
        <v>-0.31711682730111079</v>
      </c>
      <c r="V17" s="15">
        <v>154.1539799</v>
      </c>
      <c r="W17" s="16">
        <v>152.7476509</v>
      </c>
      <c r="X17" s="16">
        <f t="shared" si="12"/>
        <v>-1.4063289999999995</v>
      </c>
      <c r="Y17" s="17">
        <f t="shared" si="13"/>
        <v>-9.1228847994212544E-3</v>
      </c>
      <c r="Z17" s="55">
        <v>271.45523738818298</v>
      </c>
      <c r="AA17" s="49">
        <v>357.84034058729799</v>
      </c>
      <c r="AB17" s="49">
        <f t="shared" si="1"/>
        <v>86.385103199115008</v>
      </c>
      <c r="AC17" s="50">
        <f t="shared" si="2"/>
        <v>0.31822964268537457</v>
      </c>
      <c r="AD17" s="55">
        <v>1.7609356406223899</v>
      </c>
      <c r="AE17" s="49">
        <v>2.3426896487871001</v>
      </c>
      <c r="AF17" s="49">
        <f t="shared" si="14"/>
        <v>0.58175400816471012</v>
      </c>
      <c r="AG17" s="50">
        <f t="shared" si="15"/>
        <v>0.33036642268146349</v>
      </c>
      <c r="AH17" s="15">
        <v>1.4005156830000001</v>
      </c>
      <c r="AI17" s="16">
        <v>1.436081272</v>
      </c>
      <c r="AJ17" s="16">
        <f t="shared" si="16"/>
        <v>3.5565588999999953E-2</v>
      </c>
      <c r="AK17" s="17">
        <f t="shared" si="17"/>
        <v>2.5394638154865954E-2</v>
      </c>
      <c r="AL17" s="15">
        <v>18.092583757500002</v>
      </c>
      <c r="AM17" s="16">
        <v>19.052669989999998</v>
      </c>
      <c r="AN17" s="16">
        <f t="shared" si="18"/>
        <v>0.96008623249999658</v>
      </c>
      <c r="AO17" s="17">
        <f t="shared" si="19"/>
        <v>5.3065181035959426E-2</v>
      </c>
      <c r="AP17" s="15">
        <v>18.092583757500002</v>
      </c>
      <c r="AQ17" s="16">
        <v>19.052669989999998</v>
      </c>
      <c r="AR17" s="16">
        <f t="shared" si="20"/>
        <v>0.96008623249999658</v>
      </c>
      <c r="AS17" s="17">
        <f t="shared" si="21"/>
        <v>5.3065181035959426E-2</v>
      </c>
    </row>
    <row r="18" spans="1:45" x14ac:dyDescent="0.3">
      <c r="A18" s="1" t="s">
        <v>8</v>
      </c>
      <c r="B18" s="23">
        <v>35</v>
      </c>
      <c r="C18" s="24">
        <v>35</v>
      </c>
      <c r="D18" s="24">
        <f t="shared" si="3"/>
        <v>0</v>
      </c>
      <c r="E18" s="17">
        <f t="shared" si="4"/>
        <v>0</v>
      </c>
      <c r="F18" s="15">
        <v>0.82857142839999998</v>
      </c>
      <c r="G18" s="16">
        <v>0.85714285700000004</v>
      </c>
      <c r="H18" s="16">
        <f t="shared" si="5"/>
        <v>2.8571428600000059E-2</v>
      </c>
      <c r="I18" s="17">
        <f t="shared" si="6"/>
        <v>3.448275866230685E-2</v>
      </c>
      <c r="J18" s="76">
        <v>29</v>
      </c>
      <c r="K18" s="77">
        <v>30</v>
      </c>
      <c r="L18" s="77">
        <f t="shared" si="7"/>
        <v>1</v>
      </c>
      <c r="M18" s="50">
        <f t="shared" si="8"/>
        <v>3.4482758620689655E-2</v>
      </c>
      <c r="N18" s="15">
        <v>42.09</v>
      </c>
      <c r="O18" s="16">
        <v>40.31</v>
      </c>
      <c r="P18" s="16">
        <f t="shared" si="9"/>
        <v>-1.7800000000000011</v>
      </c>
      <c r="Q18" s="17">
        <f t="shared" si="10"/>
        <v>-4.2290330244713729E-2</v>
      </c>
      <c r="R18" s="152">
        <v>5.8856622721223051E-2</v>
      </c>
      <c r="S18" s="153">
        <v>2.8355216469789557E-2</v>
      </c>
      <c r="T18" s="49">
        <f t="shared" si="11"/>
        <v>-3.0501406251433494E-2</v>
      </c>
      <c r="U18" s="50">
        <f t="shared" si="0"/>
        <v>-0.51823235587105854</v>
      </c>
      <c r="V18" s="15">
        <v>157.9259089</v>
      </c>
      <c r="W18" s="16">
        <v>154.6811654</v>
      </c>
      <c r="X18" s="16">
        <f t="shared" si="12"/>
        <v>-3.2447434999999984</v>
      </c>
      <c r="Y18" s="17">
        <f t="shared" si="13"/>
        <v>-2.0545985915804334E-2</v>
      </c>
      <c r="Z18" s="55">
        <v>285.32789294268298</v>
      </c>
      <c r="AA18" s="49">
        <v>372.15395421079</v>
      </c>
      <c r="AB18" s="49">
        <f t="shared" si="1"/>
        <v>86.826061268107026</v>
      </c>
      <c r="AC18" s="50">
        <f t="shared" si="2"/>
        <v>0.30430274577308414</v>
      </c>
      <c r="AD18" s="55">
        <v>1.8067199672785701</v>
      </c>
      <c r="AE18" s="49">
        <v>2.40594226930435</v>
      </c>
      <c r="AF18" s="49">
        <f t="shared" si="14"/>
        <v>0.59922230202577986</v>
      </c>
      <c r="AG18" s="50">
        <f t="shared" si="15"/>
        <v>0.33166307611487666</v>
      </c>
      <c r="AH18" s="15">
        <v>1.4005156830000001</v>
      </c>
      <c r="AI18" s="16">
        <v>1.449605773</v>
      </c>
      <c r="AJ18" s="16">
        <f t="shared" si="16"/>
        <v>4.9090089999999975E-2</v>
      </c>
      <c r="AK18" s="17">
        <f t="shared" si="17"/>
        <v>3.5051438977709737E-2</v>
      </c>
      <c r="AL18" s="15">
        <v>20.036474510000001</v>
      </c>
      <c r="AM18" s="16">
        <v>20.864757116</v>
      </c>
      <c r="AN18" s="16">
        <f t="shared" si="18"/>
        <v>0.82828260599999837</v>
      </c>
      <c r="AO18" s="17">
        <f t="shared" si="19"/>
        <v>4.1338739786114118E-2</v>
      </c>
      <c r="AP18" s="15">
        <v>20.036474510000001</v>
      </c>
      <c r="AQ18" s="16">
        <v>20.864757116</v>
      </c>
      <c r="AR18" s="16">
        <f t="shared" si="20"/>
        <v>0.82828260599999837</v>
      </c>
      <c r="AS18" s="17">
        <f t="shared" si="21"/>
        <v>4.1338739786114118E-2</v>
      </c>
    </row>
    <row r="19" spans="1:45" x14ac:dyDescent="0.3">
      <c r="A19" s="1" t="s">
        <v>9</v>
      </c>
      <c r="B19" s="23">
        <v>28</v>
      </c>
      <c r="C19" s="24">
        <v>28</v>
      </c>
      <c r="D19" s="24">
        <f t="shared" si="3"/>
        <v>0</v>
      </c>
      <c r="E19" s="17">
        <f t="shared" si="4"/>
        <v>0</v>
      </c>
      <c r="F19" s="15">
        <v>0.82142857125000002</v>
      </c>
      <c r="G19" s="16">
        <v>0.82142857125000002</v>
      </c>
      <c r="H19" s="16">
        <f t="shared" si="5"/>
        <v>0</v>
      </c>
      <c r="I19" s="17">
        <f t="shared" si="6"/>
        <v>0</v>
      </c>
      <c r="J19" s="76">
        <v>23</v>
      </c>
      <c r="K19" s="77">
        <v>23</v>
      </c>
      <c r="L19" s="77">
        <f t="shared" si="7"/>
        <v>0</v>
      </c>
      <c r="M19" s="50">
        <f t="shared" si="8"/>
        <v>0</v>
      </c>
      <c r="N19" s="15">
        <v>43.77</v>
      </c>
      <c r="O19" s="16">
        <v>38.83</v>
      </c>
      <c r="P19" s="16">
        <f t="shared" si="9"/>
        <v>-4.9400000000000048</v>
      </c>
      <c r="Q19" s="17">
        <f t="shared" si="10"/>
        <v>-0.11286269134110131</v>
      </c>
      <c r="R19" s="152">
        <v>3.2934820909841234E-2</v>
      </c>
      <c r="S19" s="153">
        <v>3.2000000000000001E-2</v>
      </c>
      <c r="T19" s="49">
        <f t="shared" si="11"/>
        <v>-9.3482090984123301E-4</v>
      </c>
      <c r="U19" s="50">
        <f t="shared" si="0"/>
        <v>-2.8383968214076419E-2</v>
      </c>
      <c r="V19" s="15">
        <v>159.24171849999999</v>
      </c>
      <c r="W19" s="16">
        <v>150.0302284</v>
      </c>
      <c r="X19" s="16">
        <f t="shared" si="12"/>
        <v>-9.2114900999999918</v>
      </c>
      <c r="Y19" s="17">
        <f t="shared" si="13"/>
        <v>-5.7845960133870271E-2</v>
      </c>
      <c r="Z19" s="55">
        <v>298.63798976465199</v>
      </c>
      <c r="AA19" s="49">
        <v>372.15395421079</v>
      </c>
      <c r="AB19" s="49">
        <f t="shared" si="1"/>
        <v>73.515964446138014</v>
      </c>
      <c r="AC19" s="50">
        <f t="shared" si="2"/>
        <v>0.24617083882755114</v>
      </c>
      <c r="AD19" s="55">
        <v>1.87537532603515</v>
      </c>
      <c r="AE19" s="49">
        <v>2.4805264796527902</v>
      </c>
      <c r="AF19" s="49">
        <f t="shared" si="14"/>
        <v>0.60515115361764016</v>
      </c>
      <c r="AG19" s="50">
        <f t="shared" si="15"/>
        <v>0.32268268928173893</v>
      </c>
      <c r="AH19" s="15">
        <v>1.4005156830000001</v>
      </c>
      <c r="AI19" s="16">
        <v>1.449605773</v>
      </c>
      <c r="AJ19" s="16">
        <f t="shared" si="16"/>
        <v>4.9090089999999975E-2</v>
      </c>
      <c r="AK19" s="17">
        <f t="shared" si="17"/>
        <v>3.5051438977709737E-2</v>
      </c>
      <c r="AL19" s="15">
        <v>24.820115272500001</v>
      </c>
      <c r="AM19" s="16">
        <v>25.516777367500001</v>
      </c>
      <c r="AN19" s="16">
        <f t="shared" si="18"/>
        <v>0.69666209500000065</v>
      </c>
      <c r="AO19" s="17">
        <f t="shared" si="19"/>
        <v>2.8068447199029851E-2</v>
      </c>
      <c r="AP19" s="15">
        <v>24.820115272500001</v>
      </c>
      <c r="AQ19" s="16">
        <v>25.516777367500001</v>
      </c>
      <c r="AR19" s="16">
        <f t="shared" si="20"/>
        <v>0.69666209500000065</v>
      </c>
      <c r="AS19" s="17">
        <f t="shared" si="21"/>
        <v>2.8068447199029851E-2</v>
      </c>
    </row>
    <row r="20" spans="1:45" x14ac:dyDescent="0.3">
      <c r="A20" s="1" t="s">
        <v>10</v>
      </c>
      <c r="B20" s="23">
        <v>28</v>
      </c>
      <c r="C20" s="24">
        <v>28</v>
      </c>
      <c r="D20" s="24">
        <f t="shared" si="3"/>
        <v>0</v>
      </c>
      <c r="E20" s="17">
        <f t="shared" si="4"/>
        <v>0</v>
      </c>
      <c r="F20" s="15">
        <v>0.7857142855</v>
      </c>
      <c r="G20" s="16">
        <v>0.85714285700000004</v>
      </c>
      <c r="H20" s="16">
        <f t="shared" si="5"/>
        <v>7.1428571500000038E-2</v>
      </c>
      <c r="I20" s="17">
        <f t="shared" si="6"/>
        <v>9.0909091024793443E-2</v>
      </c>
      <c r="J20" s="76">
        <v>22</v>
      </c>
      <c r="K20" s="77">
        <v>24</v>
      </c>
      <c r="L20" s="77">
        <f t="shared" si="7"/>
        <v>2</v>
      </c>
      <c r="M20" s="50">
        <f t="shared" si="8"/>
        <v>9.0909090909090912E-2</v>
      </c>
      <c r="N20" s="15">
        <v>41.35</v>
      </c>
      <c r="O20" s="16">
        <v>39.376547780000003</v>
      </c>
      <c r="P20" s="16">
        <f t="shared" si="9"/>
        <v>-1.9734522199999986</v>
      </c>
      <c r="Q20" s="17">
        <f t="shared" si="10"/>
        <v>-4.772556759371218E-2</v>
      </c>
      <c r="R20" s="152">
        <v>4.2545373094803107E-2</v>
      </c>
      <c r="S20" s="153">
        <v>3.6217053421069997E-2</v>
      </c>
      <c r="T20" s="49">
        <f t="shared" si="11"/>
        <v>-6.3283196737331099E-3</v>
      </c>
      <c r="U20" s="50">
        <f t="shared" si="0"/>
        <v>-0.14874284119290307</v>
      </c>
      <c r="V20" s="15">
        <v>163.71023450000001</v>
      </c>
      <c r="W20" s="16">
        <v>149.8861071</v>
      </c>
      <c r="X20" s="16">
        <f t="shared" si="12"/>
        <v>-13.824127400000009</v>
      </c>
      <c r="Y20" s="17">
        <f t="shared" si="13"/>
        <v>-8.4442658348278202E-2</v>
      </c>
      <c r="Z20" s="55">
        <v>315.61464215015297</v>
      </c>
      <c r="AA20" s="49">
        <v>387.04011237922202</v>
      </c>
      <c r="AB20" s="49">
        <f t="shared" si="1"/>
        <v>71.425470229069049</v>
      </c>
      <c r="AC20" s="50">
        <f t="shared" si="2"/>
        <v>0.22630594620856828</v>
      </c>
      <c r="AD20" s="55">
        <v>1.9278858351641399</v>
      </c>
      <c r="AE20" s="49">
        <v>2.5822280653185499</v>
      </c>
      <c r="AF20" s="49">
        <f t="shared" si="14"/>
        <v>0.65434223015440995</v>
      </c>
      <c r="AG20" s="50">
        <f t="shared" si="15"/>
        <v>0.33940922134463392</v>
      </c>
      <c r="AH20" s="15">
        <v>1.416604781</v>
      </c>
      <c r="AI20" s="16">
        <v>1.4632576420000001</v>
      </c>
      <c r="AJ20" s="16">
        <f t="shared" si="16"/>
        <v>4.6652861000000101E-2</v>
      </c>
      <c r="AK20" s="17">
        <f t="shared" si="17"/>
        <v>3.2932869933607896E-2</v>
      </c>
      <c r="AL20" s="15">
        <v>27.9213897775</v>
      </c>
      <c r="AM20" s="16">
        <v>27.950078722499999</v>
      </c>
      <c r="AN20" s="16">
        <f t="shared" si="18"/>
        <v>2.8688944999998967E-2</v>
      </c>
      <c r="AO20" s="17">
        <f t="shared" si="19"/>
        <v>1.027489864530937E-3</v>
      </c>
      <c r="AP20" s="15">
        <v>27.9213897775</v>
      </c>
      <c r="AQ20" s="16">
        <v>27.950078722499999</v>
      </c>
      <c r="AR20" s="16">
        <f t="shared" si="20"/>
        <v>2.8688944999998967E-2</v>
      </c>
      <c r="AS20" s="17">
        <f t="shared" si="21"/>
        <v>1.027489864530937E-3</v>
      </c>
    </row>
    <row r="21" spans="1:45" ht="15" thickBot="1" x14ac:dyDescent="0.35">
      <c r="A21" s="1" t="s">
        <v>11</v>
      </c>
      <c r="B21" s="187">
        <v>39</v>
      </c>
      <c r="C21" s="188">
        <v>41</v>
      </c>
      <c r="D21" s="188">
        <f t="shared" si="3"/>
        <v>2</v>
      </c>
      <c r="E21" s="189">
        <f t="shared" si="4"/>
        <v>5.128205128205128E-2</v>
      </c>
      <c r="F21" s="190">
        <v>0.80259740239999999</v>
      </c>
      <c r="G21" s="147">
        <v>0.75384615359999996</v>
      </c>
      <c r="H21" s="147">
        <f t="shared" si="5"/>
        <v>-4.8751248800000035E-2</v>
      </c>
      <c r="I21" s="189">
        <f t="shared" si="6"/>
        <v>-6.0741847225295777E-2</v>
      </c>
      <c r="J21" s="191">
        <v>31</v>
      </c>
      <c r="K21" s="192">
        <v>31</v>
      </c>
      <c r="L21" s="192">
        <f t="shared" si="7"/>
        <v>0</v>
      </c>
      <c r="M21" s="193">
        <f t="shared" si="8"/>
        <v>0</v>
      </c>
      <c r="N21" s="190">
        <v>42.348258999999999</v>
      </c>
      <c r="O21" s="147">
        <v>38.855971879999998</v>
      </c>
      <c r="P21" s="147">
        <f t="shared" si="9"/>
        <v>-3.4922871200000003</v>
      </c>
      <c r="Q21" s="189">
        <f t="shared" si="10"/>
        <v>-8.246589594155454E-2</v>
      </c>
      <c r="R21" s="194">
        <v>3.7437073551383371E-2</v>
      </c>
      <c r="S21" s="195">
        <v>3.8083346072419998E-2</v>
      </c>
      <c r="T21" s="196">
        <f t="shared" si="11"/>
        <v>6.4627252103662686E-4</v>
      </c>
      <c r="U21" s="193">
        <f t="shared" si="0"/>
        <v>1.7262901710241876E-2</v>
      </c>
      <c r="V21" s="190">
        <v>168.83969949999999</v>
      </c>
      <c r="W21" s="147">
        <v>147.72428830000001</v>
      </c>
      <c r="X21" s="147">
        <f t="shared" si="12"/>
        <v>-21.115411199999983</v>
      </c>
      <c r="Y21" s="189">
        <f t="shared" si="13"/>
        <v>-0.12506188569708976</v>
      </c>
      <c r="Z21" s="197">
        <v>330.38622008194397</v>
      </c>
      <c r="AA21" s="196">
        <v>396.71611518870202</v>
      </c>
      <c r="AB21" s="196">
        <f t="shared" si="1"/>
        <v>66.329895106758045</v>
      </c>
      <c r="AC21" s="193">
        <f t="shared" si="2"/>
        <v>0.20076471437067378</v>
      </c>
      <c r="AD21" s="197">
        <v>1.9568041226916</v>
      </c>
      <c r="AE21" s="196">
        <v>2.68551718793129</v>
      </c>
      <c r="AF21" s="196">
        <f t="shared" si="14"/>
        <v>0.72871306523969004</v>
      </c>
      <c r="AG21" s="193">
        <f t="shared" si="15"/>
        <v>0.37239959625460073</v>
      </c>
      <c r="AH21" s="190">
        <v>1.4339379750000001</v>
      </c>
      <c r="AI21" s="147">
        <v>1.47196645</v>
      </c>
      <c r="AJ21" s="147">
        <f t="shared" si="16"/>
        <v>3.8028474999999951E-2</v>
      </c>
      <c r="AK21" s="189">
        <f t="shared" si="17"/>
        <v>2.6520306779656874E-2</v>
      </c>
      <c r="AL21" s="190">
        <v>30.695088972000001</v>
      </c>
      <c r="AM21" s="147">
        <v>29.210975754</v>
      </c>
      <c r="AN21" s="147">
        <f t="shared" si="18"/>
        <v>-1.484113218000001</v>
      </c>
      <c r="AO21" s="189">
        <f t="shared" si="19"/>
        <v>-4.835018459642864E-2</v>
      </c>
      <c r="AP21" s="190">
        <v>30.695088972000001</v>
      </c>
      <c r="AQ21" s="147">
        <v>29.210975754</v>
      </c>
      <c r="AR21" s="147">
        <f t="shared" si="20"/>
        <v>-1.484113218000001</v>
      </c>
      <c r="AS21" s="189">
        <f t="shared" si="21"/>
        <v>-4.835018459642864E-2</v>
      </c>
    </row>
    <row r="22" spans="1:45" ht="15" thickBot="1" x14ac:dyDescent="0.35">
      <c r="A22" s="4" t="s">
        <v>15</v>
      </c>
      <c r="B22" s="198">
        <f>SUM(B10:B21)</f>
        <v>365</v>
      </c>
      <c r="C22" s="199">
        <f>SUM(C10:C21)</f>
        <v>366</v>
      </c>
      <c r="D22" s="199">
        <f t="shared" si="3"/>
        <v>1</v>
      </c>
      <c r="E22" s="200">
        <f t="shared" si="4"/>
        <v>2.7397260273972603E-3</v>
      </c>
      <c r="F22" s="201">
        <f>(4*SUM(F10:F11,F13:F14,F16:F17,F19:F20)+5*SUM(F12,F15,F18,F21))/52</f>
        <v>0.79763985995879128</v>
      </c>
      <c r="G22" s="202">
        <f>(4*SUM(G10:G11,G13:G14,G16:G17,G19:G20)+5*SUM(G12,G15,G18,G21))/52</f>
        <v>0.80508593950000007</v>
      </c>
      <c r="H22" s="202">
        <f t="shared" si="5"/>
        <v>7.4460795412087943E-3</v>
      </c>
      <c r="I22" s="200">
        <f t="shared" si="6"/>
        <v>9.3351397228236353E-3</v>
      </c>
      <c r="J22" s="203">
        <f>SUM(J10:J21)</f>
        <v>291</v>
      </c>
      <c r="K22" s="204">
        <f>SUM(K10:K21)</f>
        <v>295</v>
      </c>
      <c r="L22" s="204">
        <f t="shared" si="7"/>
        <v>4</v>
      </c>
      <c r="M22" s="205">
        <f t="shared" si="8"/>
        <v>1.3745704467353952E-2</v>
      </c>
      <c r="N22" s="201">
        <f>(4*SUM(N10:N11,N13:N14,N16:N17,N19:N20)+5*SUM(N12,N15,N18,N21))/52</f>
        <v>39.302140288461537</v>
      </c>
      <c r="O22" s="202">
        <f>(4*SUM(O10:O11,O13:O14,O16:O17,O19:O20)+5*SUM(O12,O15,O18,O21))/52</f>
        <v>40.076077894615381</v>
      </c>
      <c r="P22" s="202">
        <f t="shared" si="9"/>
        <v>0.77393760615384366</v>
      </c>
      <c r="Q22" s="206">
        <f t="shared" si="10"/>
        <v>1.9691996427509038E-2</v>
      </c>
      <c r="R22" s="207">
        <f>PRODUCT((1+R10),(1+R11),(1+R12),(1+R13),(1+R14),(1+R15),(1+R16),(1+R17),(1+R18),(1+R19),(1+R20),(1+R21))-1</f>
        <v>0.53832402016333858</v>
      </c>
      <c r="S22" s="208">
        <f>PRODUCT((1+S10),(1+S11),(1+S12),(1+S13),(1+S14),(1+S15),(1+S16),(1+S17),(1+S18),(1+S19),(1+S20),(1+S21))-1</f>
        <v>0.35753044046208426</v>
      </c>
      <c r="T22" s="209">
        <f t="shared" si="11"/>
        <v>-0.18079357970125431</v>
      </c>
      <c r="U22" s="205">
        <f t="shared" si="0"/>
        <v>-0.33584527706268397</v>
      </c>
      <c r="V22" s="201">
        <f>(4*SUM(V10:V11,V13:V14,V16:V17,V19:V20)+5*SUM(V12,V15,V18,V21))/52</f>
        <v>156.17302476153847</v>
      </c>
      <c r="W22" s="202">
        <f>(4*SUM(W10:W11,W13:W14,W16:W17,W19:W20)+5*SUM(W12,W15,W18,W21))/52</f>
        <v>153.411143025</v>
      </c>
      <c r="X22" s="202">
        <f t="shared" si="12"/>
        <v>-2.76188173653847</v>
      </c>
      <c r="Y22" s="200">
        <f t="shared" si="13"/>
        <v>-1.7684755358715783E-2</v>
      </c>
      <c r="Z22" s="210">
        <f>(4*SUM(Z10:Z11,Z13:Z14,Z16:Z17,Z19:Z20)+5*SUM(Z12,Z15,Z18,Z21))/52</f>
        <v>263.73151605038561</v>
      </c>
      <c r="AA22" s="209">
        <f>(4*SUM(AA10:AA11,AA13:AA14,AA16:AA17,AA19:AA20)+5*SUM(AA12,AA15,AA18,AA21))/52</f>
        <v>360.79697190319615</v>
      </c>
      <c r="AB22" s="209">
        <f t="shared" si="1"/>
        <v>97.065455852810544</v>
      </c>
      <c r="AC22" s="205">
        <f t="shared" si="2"/>
        <v>0.36804647888296482</v>
      </c>
      <c r="AD22" s="210">
        <f>(4*SUM(AD10:AD11,AD13:AD14,AD16:AD17,AD19:AD20)+5*SUM(AD12,AD15,AD18,AD21))/52</f>
        <v>1.6835675975782005</v>
      </c>
      <c r="AE22" s="209">
        <f>(4*SUM(AE10:AE11,AE13:AE14,AE16:AE17,AE19:AE20)+5*SUM(AE12,AE15,AE18,AE21))/52</f>
        <v>2.3545767625035086</v>
      </c>
      <c r="AF22" s="209">
        <f t="shared" si="14"/>
        <v>0.67100916492530804</v>
      </c>
      <c r="AG22" s="242">
        <f t="shared" si="15"/>
        <v>0.39856383901100839</v>
      </c>
      <c r="AH22" s="201">
        <f>(4*SUM(AH10:AH11,AH13:AH14,AH16:AH17,AH19:AH20)+5*SUM(AH12,AH15,AH18,AH21))/52</f>
        <v>1.3745920688653848</v>
      </c>
      <c r="AI22" s="202">
        <f>(4*SUM(AI10:AI11,AI13:AI14,AI16:AI17,AI19:AI20)+5*SUM(AI12,AI15,AI18,AI21))/52</f>
        <v>1.4376826369615385</v>
      </c>
      <c r="AJ22" s="202">
        <f t="shared" si="16"/>
        <v>6.3090568096153765E-2</v>
      </c>
      <c r="AK22" s="200">
        <f t="shared" si="17"/>
        <v>4.5897666315090818E-2</v>
      </c>
      <c r="AL22" s="201">
        <f>(4*SUM(AL10:AL11,AL13:AL14,AL16:AL17,AL19:AL20)+5*SUM(AL12,AL15,AL18,AL21))/52</f>
        <v>24.512333040961536</v>
      </c>
      <c r="AM22" s="202">
        <f>(4*SUM(AM10:AM11,AM13:AM14,AM16:AM17,AM19:AM20)+5*SUM(AM12,AM15,AM18,AM21))/52</f>
        <v>25.131132840769229</v>
      </c>
      <c r="AN22" s="202">
        <f t="shared" si="18"/>
        <v>0.61879979980769306</v>
      </c>
      <c r="AO22" s="213">
        <f t="shared" si="19"/>
        <v>2.5244426908431872E-2</v>
      </c>
      <c r="AP22" s="201">
        <f>(4*SUM(AP10:AP11,AP13:AP14,AP16:AP17,AP19:AP20)+5*SUM(AP12,AP15,AP18,AP21))/52</f>
        <v>24.512333040961536</v>
      </c>
      <c r="AQ22" s="202">
        <f>(4*SUM(AQ10:AQ11,AQ13:AQ14,AQ16:AQ17,AQ19:AQ20)+5*SUM(AQ12,AQ15,AQ18,AQ21))/52</f>
        <v>25.131132840769229</v>
      </c>
      <c r="AR22" s="202">
        <f t="shared" si="20"/>
        <v>0.61879979980769306</v>
      </c>
      <c r="AS22" s="213">
        <f t="shared" si="21"/>
        <v>2.5244426908431872E-2</v>
      </c>
    </row>
    <row r="23" spans="1:45" ht="15" thickBot="1" x14ac:dyDescent="0.35">
      <c r="A23" s="34" t="str">
        <f>"Andina - "&amp;'Andina DT'!A22:J22</f>
        <v>Andina - w43</v>
      </c>
      <c r="B23" s="22"/>
      <c r="C23" s="22"/>
      <c r="D23" s="22"/>
      <c r="E23" s="33"/>
      <c r="F23" s="33"/>
      <c r="G23" s="33"/>
      <c r="J23" s="33"/>
      <c r="K23" s="33"/>
      <c r="Q23" s="161"/>
      <c r="AK23" s="161"/>
    </row>
    <row r="24" spans="1:45" ht="15" thickBot="1" x14ac:dyDescent="0.35">
      <c r="A24" s="30"/>
      <c r="B24" s="312" t="s">
        <v>21</v>
      </c>
      <c r="C24" s="313"/>
      <c r="D24" s="313"/>
      <c r="E24" s="313"/>
      <c r="F24" s="313"/>
      <c r="G24" s="313"/>
      <c r="H24" s="313"/>
      <c r="I24" s="313"/>
      <c r="J24" s="313"/>
      <c r="K24" s="313"/>
      <c r="L24" s="313"/>
      <c r="M24" s="314"/>
      <c r="N24" s="312" t="s">
        <v>22</v>
      </c>
      <c r="O24" s="313"/>
      <c r="P24" s="313"/>
      <c r="Q24" s="314"/>
      <c r="R24" s="312" t="s">
        <v>41</v>
      </c>
      <c r="S24" s="313"/>
      <c r="T24" s="313"/>
      <c r="U24" s="314"/>
      <c r="V24" s="312" t="s">
        <v>23</v>
      </c>
      <c r="W24" s="313"/>
      <c r="X24" s="313"/>
      <c r="Y24" s="314"/>
      <c r="Z24" s="312" t="s">
        <v>40</v>
      </c>
      <c r="AA24" s="313"/>
      <c r="AB24" s="313"/>
      <c r="AC24" s="313"/>
      <c r="AD24" s="313"/>
      <c r="AE24" s="313"/>
      <c r="AF24" s="313"/>
      <c r="AG24" s="314"/>
      <c r="AH24" s="312" t="s">
        <v>24</v>
      </c>
      <c r="AI24" s="313"/>
      <c r="AJ24" s="313"/>
      <c r="AK24" s="314"/>
      <c r="AL24" s="312" t="s">
        <v>25</v>
      </c>
      <c r="AM24" s="313"/>
      <c r="AN24" s="313"/>
      <c r="AO24" s="314"/>
      <c r="AP24" s="312" t="s">
        <v>60</v>
      </c>
      <c r="AQ24" s="313"/>
      <c r="AR24" s="313"/>
      <c r="AS24" s="314"/>
    </row>
    <row r="25" spans="1:45" ht="15" thickBot="1" x14ac:dyDescent="0.35">
      <c r="A25" s="2"/>
      <c r="B25" s="312" t="s">
        <v>68</v>
      </c>
      <c r="C25" s="313"/>
      <c r="D25" s="313"/>
      <c r="E25" s="314"/>
      <c r="F25" s="312" t="s">
        <v>81</v>
      </c>
      <c r="G25" s="313"/>
      <c r="H25" s="313"/>
      <c r="I25" s="314"/>
      <c r="J25" s="312" t="s">
        <v>57</v>
      </c>
      <c r="K25" s="313"/>
      <c r="L25" s="313"/>
      <c r="M25" s="314"/>
      <c r="N25" s="312" t="s">
        <v>14</v>
      </c>
      <c r="O25" s="313"/>
      <c r="P25" s="313"/>
      <c r="Q25" s="314"/>
      <c r="R25" s="312" t="s">
        <v>35</v>
      </c>
      <c r="S25" s="313"/>
      <c r="T25" s="313"/>
      <c r="U25" s="314"/>
      <c r="V25" s="312" t="s">
        <v>113</v>
      </c>
      <c r="W25" s="313"/>
      <c r="X25" s="313"/>
      <c r="Y25" s="314"/>
      <c r="Z25" s="312" t="s">
        <v>84</v>
      </c>
      <c r="AA25" s="313"/>
      <c r="AB25" s="313"/>
      <c r="AC25" s="314"/>
      <c r="AD25" s="312" t="s">
        <v>18</v>
      </c>
      <c r="AE25" s="313"/>
      <c r="AF25" s="313"/>
      <c r="AG25" s="314"/>
      <c r="AH25" s="312" t="s">
        <v>73</v>
      </c>
      <c r="AI25" s="313"/>
      <c r="AJ25" s="313"/>
      <c r="AK25" s="314"/>
      <c r="AL25" s="312" t="s">
        <v>16</v>
      </c>
      <c r="AM25" s="313"/>
      <c r="AN25" s="313"/>
      <c r="AO25" s="314"/>
      <c r="AP25" s="312" t="s">
        <v>71</v>
      </c>
      <c r="AQ25" s="313"/>
      <c r="AR25" s="313"/>
      <c r="AS25" s="314"/>
    </row>
    <row r="26" spans="1:45" x14ac:dyDescent="0.3">
      <c r="A26" s="1"/>
      <c r="B26" s="12">
        <v>2020</v>
      </c>
      <c r="C26" s="13">
        <v>2021</v>
      </c>
      <c r="D26" s="13" t="s">
        <v>12</v>
      </c>
      <c r="E26" s="14" t="s">
        <v>13</v>
      </c>
      <c r="F26" s="12">
        <v>2020</v>
      </c>
      <c r="G26" s="13">
        <v>2021</v>
      </c>
      <c r="H26" s="13" t="s">
        <v>12</v>
      </c>
      <c r="I26" s="14" t="s">
        <v>13</v>
      </c>
      <c r="J26" s="44">
        <v>2020</v>
      </c>
      <c r="K26" s="45">
        <v>2021</v>
      </c>
      <c r="L26" s="45" t="s">
        <v>12</v>
      </c>
      <c r="M26" s="46" t="s">
        <v>13</v>
      </c>
      <c r="N26" s="12">
        <v>2020</v>
      </c>
      <c r="O26" s="13">
        <v>2021</v>
      </c>
      <c r="P26" s="13" t="s">
        <v>12</v>
      </c>
      <c r="Q26" s="14" t="s">
        <v>13</v>
      </c>
      <c r="R26" s="44">
        <v>2020</v>
      </c>
      <c r="S26" s="45">
        <v>2021</v>
      </c>
      <c r="T26" s="45" t="s">
        <v>12</v>
      </c>
      <c r="U26" s="46" t="s">
        <v>13</v>
      </c>
      <c r="V26" s="12">
        <v>2020</v>
      </c>
      <c r="W26" s="13">
        <v>2021</v>
      </c>
      <c r="X26" s="13" t="s">
        <v>12</v>
      </c>
      <c r="Y26" s="14" t="s">
        <v>13</v>
      </c>
      <c r="Z26" s="44">
        <v>2020</v>
      </c>
      <c r="AA26" s="45">
        <v>2021</v>
      </c>
      <c r="AB26" s="45" t="s">
        <v>12</v>
      </c>
      <c r="AC26" s="46" t="s">
        <v>13</v>
      </c>
      <c r="AD26" s="44">
        <v>2020</v>
      </c>
      <c r="AE26" s="45">
        <v>2021</v>
      </c>
      <c r="AF26" s="45" t="s">
        <v>12</v>
      </c>
      <c r="AG26" s="46" t="s">
        <v>13</v>
      </c>
      <c r="AH26" s="12">
        <v>2020</v>
      </c>
      <c r="AI26" s="13">
        <v>2021</v>
      </c>
      <c r="AJ26" s="13" t="s">
        <v>12</v>
      </c>
      <c r="AK26" s="14" t="s">
        <v>13</v>
      </c>
      <c r="AL26" s="12">
        <v>2020</v>
      </c>
      <c r="AM26" s="13">
        <v>2021</v>
      </c>
      <c r="AN26" s="13" t="s">
        <v>12</v>
      </c>
      <c r="AO26" s="14" t="s">
        <v>13</v>
      </c>
      <c r="AP26" s="12">
        <v>2020</v>
      </c>
      <c r="AQ26" s="13">
        <v>2021</v>
      </c>
      <c r="AR26" s="13" t="s">
        <v>12</v>
      </c>
      <c r="AS26" s="14" t="s">
        <v>13</v>
      </c>
    </row>
    <row r="27" spans="1:45" x14ac:dyDescent="0.3">
      <c r="A27" s="1" t="s">
        <v>0</v>
      </c>
      <c r="B27" s="23">
        <v>25</v>
      </c>
      <c r="C27" s="24">
        <v>24</v>
      </c>
      <c r="D27" s="24">
        <f>C27-B27</f>
        <v>-1</v>
      </c>
      <c r="E27" s="17">
        <f>(C27-B27)/B27</f>
        <v>-0.04</v>
      </c>
      <c r="F27" s="15">
        <v>0.83035714275000005</v>
      </c>
      <c r="G27" s="16">
        <v>0.80952380925</v>
      </c>
      <c r="H27" s="16">
        <f>G27-F27</f>
        <v>-2.0833333500000051E-2</v>
      </c>
      <c r="I27" s="17">
        <f>(G27-F27)/F27</f>
        <v>-2.50896059387213E-2</v>
      </c>
      <c r="J27" s="76">
        <v>21</v>
      </c>
      <c r="K27" s="77">
        <v>20</v>
      </c>
      <c r="L27" s="77">
        <f>K27-J27</f>
        <v>-1</v>
      </c>
      <c r="M27" s="50">
        <f>(K27-J27)/J27</f>
        <v>-4.7619047619047616E-2</v>
      </c>
      <c r="N27" s="15">
        <v>33.1</v>
      </c>
      <c r="O27" s="16">
        <v>43.034500000000001</v>
      </c>
      <c r="P27" s="16">
        <f>O27-N27</f>
        <v>9.9344999999999999</v>
      </c>
      <c r="Q27" s="17">
        <f>(O27-N27)/N27</f>
        <v>0.30013595166163143</v>
      </c>
      <c r="R27" s="152">
        <v>2.9062409093474573E-2</v>
      </c>
      <c r="S27" s="153">
        <v>2.2528949260559816E-2</v>
      </c>
      <c r="T27" s="49">
        <f>S27-R27</f>
        <v>-6.5334598329147564E-3</v>
      </c>
      <c r="U27" s="50">
        <f t="shared" ref="U27:U38" si="22">(S27-R27)/R27</f>
        <v>-0.22480792324892723</v>
      </c>
      <c r="V27" s="15">
        <v>150.2265246</v>
      </c>
      <c r="W27" s="16">
        <v>157.6852519</v>
      </c>
      <c r="X27" s="16">
        <f>W27-V27</f>
        <v>7.4587272999999925</v>
      </c>
      <c r="Y27" s="17">
        <f>(W27-V27)/V27</f>
        <v>4.9649869221563503E-2</v>
      </c>
      <c r="Z27" s="55">
        <v>210.996031601174</v>
      </c>
      <c r="AA27" s="49">
        <v>334.78667887555201</v>
      </c>
      <c r="AB27" s="49">
        <f t="shared" ref="AB27:AB38" si="23">AA27-Z27</f>
        <v>123.79064727437802</v>
      </c>
      <c r="AC27" s="50">
        <f t="shared" ref="AC27:AC38" si="24">(AA27-Z27)/Z27</f>
        <v>0.58669656644712576</v>
      </c>
      <c r="AD27" s="55">
        <v>1.4045191564898301</v>
      </c>
      <c r="AE27" s="49">
        <v>2.12313247312039</v>
      </c>
      <c r="AF27" s="49">
        <f>AE27-AD27</f>
        <v>0.71861331663055994</v>
      </c>
      <c r="AG27" s="50">
        <f>(AE27-AD27)/AD27</f>
        <v>0.51164365634322573</v>
      </c>
      <c r="AH27" s="15">
        <v>1.2953688370000001</v>
      </c>
      <c r="AI27" s="16">
        <v>1.407971316</v>
      </c>
      <c r="AJ27" s="16">
        <f>AI27-AH27</f>
        <v>0.11260247899999998</v>
      </c>
      <c r="AK27" s="17">
        <f>(AI27-AH27)/AH27</f>
        <v>8.6926963026824747E-2</v>
      </c>
      <c r="AL27" s="15">
        <v>30.726466492499998</v>
      </c>
      <c r="AM27" s="16">
        <v>31.470912755000001</v>
      </c>
      <c r="AN27" s="16">
        <f>AM27-AL27</f>
        <v>0.74444626250000212</v>
      </c>
      <c r="AO27" s="17">
        <f>(AM27-AL27)/AL27</f>
        <v>2.422817679610877E-2</v>
      </c>
      <c r="AP27" s="15">
        <v>30.726466492499998</v>
      </c>
      <c r="AQ27" s="16">
        <v>31.470912755000001</v>
      </c>
      <c r="AR27" s="16">
        <f>AQ27-AP27</f>
        <v>0.74444626250000212</v>
      </c>
      <c r="AS27" s="17">
        <f>(AQ27-AP27)/AP27</f>
        <v>2.422817679610877E-2</v>
      </c>
    </row>
    <row r="28" spans="1:45" x14ac:dyDescent="0.3">
      <c r="A28" s="1" t="s">
        <v>1</v>
      </c>
      <c r="B28" s="23">
        <v>28</v>
      </c>
      <c r="C28" s="24">
        <v>28</v>
      </c>
      <c r="D28" s="24">
        <f t="shared" ref="D28:D38" si="25">C28-B28</f>
        <v>0</v>
      </c>
      <c r="E28" s="17">
        <f t="shared" ref="E28:E38" si="26">(C28-B28)/B28</f>
        <v>0</v>
      </c>
      <c r="F28" s="15">
        <v>0.85714285700000004</v>
      </c>
      <c r="G28" s="16">
        <v>0.85714285700000004</v>
      </c>
      <c r="H28" s="16">
        <f t="shared" ref="H28:H38" si="27">G28-F28</f>
        <v>0</v>
      </c>
      <c r="I28" s="17">
        <f t="shared" ref="I28:I38" si="28">(G28-F28)/F28</f>
        <v>0</v>
      </c>
      <c r="J28" s="76">
        <v>24</v>
      </c>
      <c r="K28" s="77">
        <v>24</v>
      </c>
      <c r="L28" s="77">
        <f t="shared" ref="L28:L38" si="29">K28-J28</f>
        <v>0</v>
      </c>
      <c r="M28" s="50">
        <f t="shared" ref="M28:M38" si="30">(K28-J28)/J28</f>
        <v>0</v>
      </c>
      <c r="N28" s="15">
        <v>36.04</v>
      </c>
      <c r="O28" s="16">
        <v>42.734993000000003</v>
      </c>
      <c r="P28" s="16">
        <f t="shared" ref="P28:P38" si="31">O28-N28</f>
        <v>6.6949930000000037</v>
      </c>
      <c r="Q28" s="17">
        <f t="shared" ref="Q28:Q38" si="32">(O28-N28)/N28</f>
        <v>0.18576562153163162</v>
      </c>
      <c r="R28" s="152">
        <v>3.7656221899571962E-2</v>
      </c>
      <c r="S28" s="153">
        <v>2.0136293736429556E-2</v>
      </c>
      <c r="T28" s="49">
        <f t="shared" ref="T28:T38" si="33">S28-R28</f>
        <v>-1.7519928163142406E-2</v>
      </c>
      <c r="U28" s="50">
        <f t="shared" si="22"/>
        <v>-0.46525985028098515</v>
      </c>
      <c r="V28" s="15">
        <v>152.72400239999999</v>
      </c>
      <c r="W28" s="16">
        <v>157.77096839999999</v>
      </c>
      <c r="X28" s="16">
        <f t="shared" ref="X28:X38" si="34">W28-V28</f>
        <v>5.0469659999999976</v>
      </c>
      <c r="Y28" s="17">
        <f t="shared" ref="Y28:Y38" si="35">(W28-V28)/V28</f>
        <v>3.3046318330379208E-2</v>
      </c>
      <c r="Z28" s="55">
        <v>220.29538923163599</v>
      </c>
      <c r="AA28" s="49">
        <v>350.377224913742</v>
      </c>
      <c r="AB28" s="49">
        <f t="shared" si="23"/>
        <v>130.081835682106</v>
      </c>
      <c r="AC28" s="50">
        <f t="shared" si="24"/>
        <v>0.59048823552692553</v>
      </c>
      <c r="AD28" s="55">
        <v>1.44244117371506</v>
      </c>
      <c r="AE28" s="49">
        <v>2.2207965668839198</v>
      </c>
      <c r="AF28" s="49">
        <f t="shared" ref="AF28:AF38" si="36">AE28-AD28</f>
        <v>0.77835539316885982</v>
      </c>
      <c r="AG28" s="50">
        <f t="shared" ref="AG28:AG38" si="37">(AE28-AD28)/AD28</f>
        <v>0.53960979993671221</v>
      </c>
      <c r="AH28" s="15">
        <v>1.321539614</v>
      </c>
      <c r="AI28" s="16">
        <v>1.4471633690000001</v>
      </c>
      <c r="AJ28" s="16">
        <f t="shared" ref="AJ28:AJ38" si="38">AI28-AH28</f>
        <v>0.12562375500000011</v>
      </c>
      <c r="AK28" s="17">
        <f t="shared" ref="AK28:AK38" si="39">(AI28-AH28)/AH28</f>
        <v>9.5058637417432812E-2</v>
      </c>
      <c r="AL28" s="15">
        <v>30.926132602500001</v>
      </c>
      <c r="AM28" s="16">
        <v>31.744990274999999</v>
      </c>
      <c r="AN28" s="16">
        <f t="shared" ref="AN28:AN38" si="40">AM28-AL28</f>
        <v>0.8188576724999983</v>
      </c>
      <c r="AO28" s="17">
        <f t="shared" ref="AO28:AO38" si="41">(AM28-AL28)/AL28</f>
        <v>2.6477855573632365E-2</v>
      </c>
      <c r="AP28" s="15">
        <v>30.926132602500001</v>
      </c>
      <c r="AQ28" s="16">
        <v>31.744990274999999</v>
      </c>
      <c r="AR28" s="16">
        <f t="shared" ref="AR28:AR38" si="42">AQ28-AP28</f>
        <v>0.8188576724999983</v>
      </c>
      <c r="AS28" s="17">
        <f t="shared" ref="AS28:AS38" si="43">(AQ28-AP28)/AP28</f>
        <v>2.6477855573632365E-2</v>
      </c>
    </row>
    <row r="29" spans="1:45" x14ac:dyDescent="0.3">
      <c r="A29" s="1" t="s">
        <v>2</v>
      </c>
      <c r="B29" s="23">
        <v>35</v>
      </c>
      <c r="C29" s="24">
        <v>35</v>
      </c>
      <c r="D29" s="24">
        <f t="shared" si="25"/>
        <v>0</v>
      </c>
      <c r="E29" s="17">
        <f t="shared" si="26"/>
        <v>0</v>
      </c>
      <c r="F29" s="15">
        <v>0.79999999980000003</v>
      </c>
      <c r="G29" s="16">
        <v>0.74285714260000002</v>
      </c>
      <c r="H29" s="16">
        <f t="shared" si="27"/>
        <v>-5.7142857200000008E-2</v>
      </c>
      <c r="I29" s="17">
        <f t="shared" si="28"/>
        <v>-7.1428571517857156E-2</v>
      </c>
      <c r="J29" s="76">
        <v>28</v>
      </c>
      <c r="K29" s="77">
        <v>26</v>
      </c>
      <c r="L29" s="77">
        <f t="shared" si="29"/>
        <v>-2</v>
      </c>
      <c r="M29" s="50">
        <f t="shared" si="30"/>
        <v>-7.1428571428571425E-2</v>
      </c>
      <c r="N29" s="15">
        <v>34.79</v>
      </c>
      <c r="O29" s="16">
        <v>41.230609999999999</v>
      </c>
      <c r="P29" s="16">
        <f t="shared" si="31"/>
        <v>6.4406099999999995</v>
      </c>
      <c r="Q29" s="17">
        <f t="shared" si="32"/>
        <v>0.18512819775797643</v>
      </c>
      <c r="R29" s="152">
        <v>4.6795401882895993E-2</v>
      </c>
      <c r="S29" s="153">
        <v>3.3434686436722538E-2</v>
      </c>
      <c r="T29" s="49">
        <f t="shared" si="33"/>
        <v>-1.3360715446173455E-2</v>
      </c>
      <c r="U29" s="50">
        <f t="shared" si="22"/>
        <v>-0.28551342457979567</v>
      </c>
      <c r="V29" s="15">
        <v>153.4768272</v>
      </c>
      <c r="W29" s="16">
        <v>154.22382049999999</v>
      </c>
      <c r="X29" s="16">
        <f t="shared" si="34"/>
        <v>0.74699329999998554</v>
      </c>
      <c r="Y29" s="17">
        <f t="shared" si="35"/>
        <v>4.8671406206916004E-3</v>
      </c>
      <c r="Z29" s="55">
        <v>229.35102138256499</v>
      </c>
      <c r="AA29" s="49">
        <v>350.377224913742</v>
      </c>
      <c r="AB29" s="49">
        <f t="shared" si="23"/>
        <v>121.026203531177</v>
      </c>
      <c r="AC29" s="50">
        <f t="shared" si="24"/>
        <v>0.52768983892729804</v>
      </c>
      <c r="AD29" s="55">
        <v>1.4943690559688001</v>
      </c>
      <c r="AE29" s="49">
        <v>2.2718748879222499</v>
      </c>
      <c r="AF29" s="49">
        <f t="shared" si="36"/>
        <v>0.7775058319534498</v>
      </c>
      <c r="AG29" s="50">
        <f t="shared" si="37"/>
        <v>0.52029037194523042</v>
      </c>
      <c r="AH29" s="15">
        <v>1.3360827740000001</v>
      </c>
      <c r="AI29" s="16">
        <v>1.403946495</v>
      </c>
      <c r="AJ29" s="16">
        <f t="shared" si="38"/>
        <v>6.7863720999999932E-2</v>
      </c>
      <c r="AK29" s="17">
        <f t="shared" si="39"/>
        <v>5.0793051389194786E-2</v>
      </c>
      <c r="AL29" s="15">
        <v>28.206274698000001</v>
      </c>
      <c r="AM29" s="16">
        <v>30.783296016000001</v>
      </c>
      <c r="AN29" s="16">
        <f t="shared" si="40"/>
        <v>2.5770213179999999</v>
      </c>
      <c r="AO29" s="17">
        <f t="shared" si="41"/>
        <v>9.1363405681599161E-2</v>
      </c>
      <c r="AP29" s="15">
        <v>28.206274698000001</v>
      </c>
      <c r="AQ29" s="16">
        <v>30.783296016000001</v>
      </c>
      <c r="AR29" s="16">
        <f t="shared" si="42"/>
        <v>2.5770213179999999</v>
      </c>
      <c r="AS29" s="17">
        <f t="shared" si="43"/>
        <v>9.1363405681599161E-2</v>
      </c>
    </row>
    <row r="30" spans="1:45" x14ac:dyDescent="0.3">
      <c r="A30" s="1" t="s">
        <v>3</v>
      </c>
      <c r="B30" s="23">
        <v>28</v>
      </c>
      <c r="C30" s="24">
        <v>28</v>
      </c>
      <c r="D30" s="24">
        <f t="shared" si="25"/>
        <v>0</v>
      </c>
      <c r="E30" s="17">
        <f t="shared" si="26"/>
        <v>0</v>
      </c>
      <c r="F30" s="15">
        <v>0.67857142846428498</v>
      </c>
      <c r="G30" s="16">
        <v>0.7857142855</v>
      </c>
      <c r="H30" s="16">
        <f t="shared" si="27"/>
        <v>0.10714285703571502</v>
      </c>
      <c r="I30" s="17">
        <f t="shared" si="28"/>
        <v>0.15789473670914253</v>
      </c>
      <c r="J30" s="76">
        <v>19</v>
      </c>
      <c r="K30" s="77">
        <v>22</v>
      </c>
      <c r="L30" s="77">
        <f t="shared" si="29"/>
        <v>3</v>
      </c>
      <c r="M30" s="50">
        <f t="shared" si="30"/>
        <v>0.15789473684210525</v>
      </c>
      <c r="N30" s="15">
        <v>34.409999999999997</v>
      </c>
      <c r="O30" s="16">
        <v>39.276279000000002</v>
      </c>
      <c r="P30" s="16">
        <f t="shared" si="31"/>
        <v>4.8662790000000058</v>
      </c>
      <c r="Q30" s="17">
        <f t="shared" si="32"/>
        <v>0.14142048823016584</v>
      </c>
      <c r="R30" s="152">
        <v>3.444697949233122E-2</v>
      </c>
      <c r="S30" s="153">
        <v>1.4965725908725691E-2</v>
      </c>
      <c r="T30" s="49">
        <f t="shared" si="33"/>
        <v>-1.9481253583605529E-2</v>
      </c>
      <c r="U30" s="50">
        <f t="shared" si="22"/>
        <v>-0.56554315852112824</v>
      </c>
      <c r="V30" s="15">
        <v>154.5693991</v>
      </c>
      <c r="W30" s="16">
        <v>154.5328863</v>
      </c>
      <c r="X30" s="16">
        <f t="shared" si="34"/>
        <v>-3.6512799999997014E-2</v>
      </c>
      <c r="Y30" s="17">
        <f t="shared" si="35"/>
        <v>-2.3622269487102518E-4</v>
      </c>
      <c r="Z30" s="55">
        <v>237.45127144556901</v>
      </c>
      <c r="AA30" s="49">
        <v>350.377224913742</v>
      </c>
      <c r="AB30" s="49">
        <f t="shared" si="23"/>
        <v>112.92595346817299</v>
      </c>
      <c r="AC30" s="50">
        <f t="shared" si="24"/>
        <v>0.47557527395282456</v>
      </c>
      <c r="AD30" s="55">
        <v>1.53621138953592</v>
      </c>
      <c r="AE30" s="49">
        <v>2.2673311381464099</v>
      </c>
      <c r="AF30" s="49">
        <f t="shared" si="36"/>
        <v>0.73111974861048989</v>
      </c>
      <c r="AG30" s="50">
        <f t="shared" si="37"/>
        <v>0.47592392140209083</v>
      </c>
      <c r="AH30" s="15">
        <v>1.3583610020000001</v>
      </c>
      <c r="AI30" s="16">
        <v>1.4352446539999999</v>
      </c>
      <c r="AJ30" s="16">
        <f t="shared" si="38"/>
        <v>7.6883651999999802E-2</v>
      </c>
      <c r="AK30" s="17">
        <f t="shared" si="39"/>
        <v>5.6600308671111127E-2</v>
      </c>
      <c r="AL30" s="15">
        <v>26.548912207499999</v>
      </c>
      <c r="AM30" s="16">
        <v>26.364061732500002</v>
      </c>
      <c r="AN30" s="16">
        <f t="shared" si="40"/>
        <v>-0.18485047499999752</v>
      </c>
      <c r="AO30" s="17">
        <f t="shared" si="41"/>
        <v>-6.9626383768664445E-3</v>
      </c>
      <c r="AP30" s="15">
        <v>26.548912207499999</v>
      </c>
      <c r="AQ30" s="16">
        <v>26.364061732500002</v>
      </c>
      <c r="AR30" s="16">
        <f t="shared" si="42"/>
        <v>-0.18485047499999752</v>
      </c>
      <c r="AS30" s="17">
        <f t="shared" si="43"/>
        <v>-6.9626383768664445E-3</v>
      </c>
    </row>
    <row r="31" spans="1:45" x14ac:dyDescent="0.3">
      <c r="A31" s="1" t="s">
        <v>4</v>
      </c>
      <c r="B31" s="23">
        <v>28</v>
      </c>
      <c r="C31" s="24">
        <v>28</v>
      </c>
      <c r="D31" s="24">
        <f t="shared" si="25"/>
        <v>0</v>
      </c>
      <c r="E31" s="17">
        <f t="shared" si="26"/>
        <v>0</v>
      </c>
      <c r="F31" s="15">
        <v>0.7857142855</v>
      </c>
      <c r="G31" s="16">
        <v>0.82142857125000002</v>
      </c>
      <c r="H31" s="16">
        <f t="shared" si="27"/>
        <v>3.5714285750000019E-2</v>
      </c>
      <c r="I31" s="17">
        <f t="shared" si="28"/>
        <v>4.5454545512396721E-2</v>
      </c>
      <c r="J31" s="76">
        <v>22</v>
      </c>
      <c r="K31" s="77">
        <v>23</v>
      </c>
      <c r="L31" s="77">
        <f t="shared" si="29"/>
        <v>1</v>
      </c>
      <c r="M31" s="50">
        <f t="shared" si="30"/>
        <v>4.5454545454545456E-2</v>
      </c>
      <c r="N31" s="15">
        <v>36.47</v>
      </c>
      <c r="O31" s="16">
        <v>38.416435</v>
      </c>
      <c r="P31" s="16">
        <f t="shared" si="31"/>
        <v>1.946435000000001</v>
      </c>
      <c r="Q31" s="17">
        <f t="shared" si="32"/>
        <v>5.3370852755689639E-2</v>
      </c>
      <c r="R31" s="152">
        <v>3.0590696999836187E-2</v>
      </c>
      <c r="S31" s="153">
        <v>1.5427362512386189E-2</v>
      </c>
      <c r="T31" s="49">
        <f t="shared" si="33"/>
        <v>-1.5163334487449998E-2</v>
      </c>
      <c r="U31" s="50">
        <f t="shared" si="22"/>
        <v>-0.49568450459076485</v>
      </c>
      <c r="V31" s="15">
        <v>153.62784769999999</v>
      </c>
      <c r="W31" s="16">
        <v>154.8425714</v>
      </c>
      <c r="X31" s="16">
        <f t="shared" si="34"/>
        <v>1.2147237000000075</v>
      </c>
      <c r="Y31" s="17">
        <f t="shared" si="35"/>
        <v>7.90692389554324E-3</v>
      </c>
      <c r="Z31" s="55">
        <v>245.91705313941301</v>
      </c>
      <c r="AA31" s="49">
        <v>350.377224913742</v>
      </c>
      <c r="AB31" s="49">
        <f t="shared" si="23"/>
        <v>104.46017177432898</v>
      </c>
      <c r="AC31" s="50">
        <f t="shared" si="24"/>
        <v>0.42477807228402903</v>
      </c>
      <c r="AD31" s="55">
        <v>1.60073226789643</v>
      </c>
      <c r="AE31" s="49">
        <v>2.26279647587012</v>
      </c>
      <c r="AF31" s="49">
        <f t="shared" si="36"/>
        <v>0.66206420797369003</v>
      </c>
      <c r="AG31" s="50">
        <f t="shared" si="37"/>
        <v>0.41360083834864425</v>
      </c>
      <c r="AH31" s="15">
        <v>1.366894998</v>
      </c>
      <c r="AI31" s="16">
        <v>1.428815956</v>
      </c>
      <c r="AJ31" s="16">
        <f t="shared" si="38"/>
        <v>6.192095799999997E-2</v>
      </c>
      <c r="AK31" s="17">
        <f t="shared" si="39"/>
        <v>4.5300449625319331E-2</v>
      </c>
      <c r="AL31" s="15">
        <v>21.863471244999999</v>
      </c>
      <c r="AM31" s="16">
        <v>23.355679117499999</v>
      </c>
      <c r="AN31" s="16">
        <f t="shared" si="40"/>
        <v>1.4922078724999999</v>
      </c>
      <c r="AO31" s="17">
        <f t="shared" si="41"/>
        <v>6.825118736994959E-2</v>
      </c>
      <c r="AP31" s="15">
        <v>21.863471244999999</v>
      </c>
      <c r="AQ31" s="16">
        <v>23.355679117499999</v>
      </c>
      <c r="AR31" s="16">
        <f t="shared" si="42"/>
        <v>1.4922078724999999</v>
      </c>
      <c r="AS31" s="17">
        <f t="shared" si="43"/>
        <v>6.825118736994959E-2</v>
      </c>
    </row>
    <row r="32" spans="1:45" x14ac:dyDescent="0.3">
      <c r="A32" s="1" t="s">
        <v>5</v>
      </c>
      <c r="B32" s="23">
        <v>35</v>
      </c>
      <c r="C32" s="24">
        <v>35</v>
      </c>
      <c r="D32" s="24">
        <f t="shared" si="25"/>
        <v>0</v>
      </c>
      <c r="E32" s="17">
        <f t="shared" si="26"/>
        <v>0</v>
      </c>
      <c r="F32" s="15">
        <v>0.77142857119999997</v>
      </c>
      <c r="G32" s="16">
        <v>0.77142857119999997</v>
      </c>
      <c r="H32" s="16">
        <f t="shared" si="27"/>
        <v>0</v>
      </c>
      <c r="I32" s="17">
        <f t="shared" si="28"/>
        <v>0</v>
      </c>
      <c r="J32" s="76">
        <v>27</v>
      </c>
      <c r="K32" s="77">
        <v>27</v>
      </c>
      <c r="L32" s="77">
        <f t="shared" si="29"/>
        <v>0</v>
      </c>
      <c r="M32" s="50">
        <f t="shared" si="30"/>
        <v>0</v>
      </c>
      <c r="N32" s="15">
        <v>40.57</v>
      </c>
      <c r="O32" s="16">
        <v>39.469208000000002</v>
      </c>
      <c r="P32" s="16">
        <f t="shared" si="31"/>
        <v>-1.1007919999999984</v>
      </c>
      <c r="Q32" s="17">
        <f t="shared" si="32"/>
        <v>-2.7133152575794885E-2</v>
      </c>
      <c r="R32" s="152">
        <v>2.7180054023995259E-2</v>
      </c>
      <c r="S32" s="153">
        <v>2.2435391591276943E-2</v>
      </c>
      <c r="T32" s="49">
        <f t="shared" si="33"/>
        <v>-4.7446624327183162E-3</v>
      </c>
      <c r="U32" s="50">
        <f t="shared" si="22"/>
        <v>-0.17456412811135713</v>
      </c>
      <c r="V32" s="15">
        <v>152.92053279999999</v>
      </c>
      <c r="W32" s="16">
        <v>154.6878835</v>
      </c>
      <c r="X32" s="16">
        <f t="shared" si="34"/>
        <v>1.7673507000000086</v>
      </c>
      <c r="Y32" s="17">
        <f t="shared" si="35"/>
        <v>1.1557314558349543E-2</v>
      </c>
      <c r="Z32" s="55">
        <v>251.14923694378999</v>
      </c>
      <c r="AA32" s="49">
        <v>350.377224913742</v>
      </c>
      <c r="AB32" s="49">
        <f t="shared" si="23"/>
        <v>99.227987969952011</v>
      </c>
      <c r="AC32" s="50">
        <f t="shared" si="24"/>
        <v>0.39509571750026995</v>
      </c>
      <c r="AD32" s="55">
        <v>1.6423513068617399</v>
      </c>
      <c r="AE32" s="49">
        <v>2.2650592723459901</v>
      </c>
      <c r="AF32" s="49">
        <f t="shared" si="36"/>
        <v>0.62270796548425023</v>
      </c>
      <c r="AG32" s="50">
        <f t="shared" si="37"/>
        <v>0.37915637347659897</v>
      </c>
      <c r="AH32" s="15">
        <v>1.3708728729999999</v>
      </c>
      <c r="AI32" s="16">
        <v>1.428815956</v>
      </c>
      <c r="AJ32" s="16">
        <f t="shared" si="38"/>
        <v>5.7943083000000062E-2</v>
      </c>
      <c r="AK32" s="17">
        <f t="shared" si="39"/>
        <v>4.226729125742943E-2</v>
      </c>
      <c r="AL32" s="15">
        <v>17.837220252000002</v>
      </c>
      <c r="AM32" s="16">
        <v>20.273258802000001</v>
      </c>
      <c r="AN32" s="16">
        <f t="shared" si="40"/>
        <v>2.4360385499999992</v>
      </c>
      <c r="AO32" s="17">
        <f t="shared" si="41"/>
        <v>0.13657052587702717</v>
      </c>
      <c r="AP32" s="15">
        <v>17.837220252000002</v>
      </c>
      <c r="AQ32" s="16">
        <v>20.273258802000001</v>
      </c>
      <c r="AR32" s="16">
        <f t="shared" si="42"/>
        <v>2.4360385499999992</v>
      </c>
      <c r="AS32" s="17">
        <f t="shared" si="43"/>
        <v>0.13657052587702717</v>
      </c>
    </row>
    <row r="33" spans="1:45" x14ac:dyDescent="0.3">
      <c r="A33" s="1" t="s">
        <v>6</v>
      </c>
      <c r="B33" s="23">
        <v>28</v>
      </c>
      <c r="C33" s="24">
        <v>28</v>
      </c>
      <c r="D33" s="24">
        <f t="shared" si="25"/>
        <v>0</v>
      </c>
      <c r="E33" s="17">
        <f t="shared" si="26"/>
        <v>0</v>
      </c>
      <c r="F33" s="15">
        <v>0.7857142855</v>
      </c>
      <c r="G33" s="16">
        <v>0.7857142855</v>
      </c>
      <c r="H33" s="16">
        <f t="shared" si="27"/>
        <v>0</v>
      </c>
      <c r="I33" s="17">
        <f t="shared" si="28"/>
        <v>0</v>
      </c>
      <c r="J33" s="76">
        <v>22</v>
      </c>
      <c r="K33" s="77">
        <v>22</v>
      </c>
      <c r="L33" s="77">
        <f t="shared" si="29"/>
        <v>0</v>
      </c>
      <c r="M33" s="50">
        <f t="shared" si="30"/>
        <v>0</v>
      </c>
      <c r="N33" s="15">
        <v>44.18</v>
      </c>
      <c r="O33" s="16">
        <v>38.183365000000002</v>
      </c>
      <c r="P33" s="16">
        <f t="shared" si="31"/>
        <v>-5.9966349999999977</v>
      </c>
      <c r="Q33" s="17">
        <f t="shared" si="32"/>
        <v>-0.13573189225894064</v>
      </c>
      <c r="R33" s="152">
        <v>2.1978655386921009E-2</v>
      </c>
      <c r="S33" s="153">
        <v>1.9341946456512993E-2</v>
      </c>
      <c r="T33" s="49">
        <f t="shared" si="33"/>
        <v>-2.636708930408016E-3</v>
      </c>
      <c r="U33" s="50">
        <f t="shared" si="22"/>
        <v>-0.11996679887783585</v>
      </c>
      <c r="V33" s="15">
        <v>150.5419047</v>
      </c>
      <c r="W33" s="16">
        <v>152.7027478</v>
      </c>
      <c r="X33" s="16">
        <f t="shared" si="34"/>
        <v>2.1608430999999939</v>
      </c>
      <c r="Y33" s="17">
        <f t="shared" si="35"/>
        <v>1.4353764849103797E-2</v>
      </c>
      <c r="Z33" s="55">
        <v>257.874129745505</v>
      </c>
      <c r="AA33" s="49">
        <v>350.377224913742</v>
      </c>
      <c r="AB33" s="49">
        <f t="shared" si="23"/>
        <v>92.503095168236996</v>
      </c>
      <c r="AC33" s="50">
        <f t="shared" si="24"/>
        <v>0.35871413413795306</v>
      </c>
      <c r="AD33" s="55">
        <v>1.7129724130568</v>
      </c>
      <c r="AE33" s="49">
        <v>2.2945050428864802</v>
      </c>
      <c r="AF33" s="49">
        <f t="shared" si="36"/>
        <v>0.58153262982968013</v>
      </c>
      <c r="AG33" s="50">
        <f t="shared" si="37"/>
        <v>0.33948744614744547</v>
      </c>
      <c r="AH33" s="15">
        <v>1.3831346659999999</v>
      </c>
      <c r="AI33" s="16">
        <v>1.428815956</v>
      </c>
      <c r="AJ33" s="16">
        <f t="shared" si="38"/>
        <v>4.5681290000000097E-2</v>
      </c>
      <c r="AK33" s="17">
        <f t="shared" si="39"/>
        <v>3.3027362499784316E-2</v>
      </c>
      <c r="AL33" s="15">
        <v>16.7924351375</v>
      </c>
      <c r="AM33" s="16">
        <v>14.834197359999999</v>
      </c>
      <c r="AN33" s="16">
        <f t="shared" si="40"/>
        <v>-1.9582377775000008</v>
      </c>
      <c r="AO33" s="17">
        <f t="shared" si="41"/>
        <v>-0.11661428264962985</v>
      </c>
      <c r="AP33" s="15">
        <v>16.7924351375</v>
      </c>
      <c r="AQ33" s="16">
        <v>14.834197359999999</v>
      </c>
      <c r="AR33" s="16">
        <f t="shared" si="42"/>
        <v>-1.9582377775000008</v>
      </c>
      <c r="AS33" s="17">
        <f t="shared" si="43"/>
        <v>-0.11661428264962985</v>
      </c>
    </row>
    <row r="34" spans="1:45" x14ac:dyDescent="0.3">
      <c r="A34" s="1" t="s">
        <v>7</v>
      </c>
      <c r="B34" s="23">
        <v>28</v>
      </c>
      <c r="C34" s="24">
        <v>28</v>
      </c>
      <c r="D34" s="24">
        <f t="shared" si="25"/>
        <v>0</v>
      </c>
      <c r="E34" s="17">
        <f t="shared" si="26"/>
        <v>0</v>
      </c>
      <c r="F34" s="15">
        <v>0.82142857125000002</v>
      </c>
      <c r="G34" s="16">
        <v>0.82142857125000002</v>
      </c>
      <c r="H34" s="16">
        <f t="shared" si="27"/>
        <v>0</v>
      </c>
      <c r="I34" s="17">
        <f t="shared" si="28"/>
        <v>0</v>
      </c>
      <c r="J34" s="76">
        <v>23</v>
      </c>
      <c r="K34" s="77">
        <v>23</v>
      </c>
      <c r="L34" s="77">
        <f t="shared" si="29"/>
        <v>0</v>
      </c>
      <c r="M34" s="50">
        <f t="shared" si="30"/>
        <v>0</v>
      </c>
      <c r="N34" s="15">
        <v>41.86</v>
      </c>
      <c r="O34" s="16">
        <v>41.314079</v>
      </c>
      <c r="P34" s="16">
        <f t="shared" si="31"/>
        <v>-0.54592099999999988</v>
      </c>
      <c r="Q34" s="17">
        <f t="shared" si="32"/>
        <v>-1.3041591017677972E-2</v>
      </c>
      <c r="R34" s="152">
        <v>3.9539857870486861E-2</v>
      </c>
      <c r="S34" s="153">
        <v>2.7001103590661213E-2</v>
      </c>
      <c r="T34" s="49">
        <f t="shared" si="33"/>
        <v>-1.2538754279825648E-2</v>
      </c>
      <c r="U34" s="50">
        <f t="shared" si="22"/>
        <v>-0.31711682730111079</v>
      </c>
      <c r="V34" s="15">
        <v>154.1539799</v>
      </c>
      <c r="W34" s="16">
        <v>152.8974035</v>
      </c>
      <c r="X34" s="16">
        <f t="shared" si="34"/>
        <v>-1.2565764000000001</v>
      </c>
      <c r="Y34" s="17">
        <f t="shared" si="35"/>
        <v>-8.1514366402680224E-3</v>
      </c>
      <c r="Z34" s="55">
        <v>271.45523738818298</v>
      </c>
      <c r="AA34" s="49">
        <v>357.84034058729799</v>
      </c>
      <c r="AB34" s="49">
        <f t="shared" si="23"/>
        <v>86.385103199115008</v>
      </c>
      <c r="AC34" s="50">
        <f t="shared" si="24"/>
        <v>0.31822964268537457</v>
      </c>
      <c r="AD34" s="55">
        <v>1.7609356406223899</v>
      </c>
      <c r="AE34" s="49">
        <v>2.3403951437442099</v>
      </c>
      <c r="AF34" s="49">
        <f t="shared" si="36"/>
        <v>0.57945950312181993</v>
      </c>
      <c r="AG34" s="50">
        <f t="shared" si="37"/>
        <v>0.32906341932917788</v>
      </c>
      <c r="AH34" s="15">
        <v>1.4005156830000001</v>
      </c>
      <c r="AI34" s="16">
        <v>1.436081272</v>
      </c>
      <c r="AJ34" s="16">
        <f t="shared" si="38"/>
        <v>3.5565588999999953E-2</v>
      </c>
      <c r="AK34" s="17">
        <f t="shared" si="39"/>
        <v>2.5394638154865954E-2</v>
      </c>
      <c r="AL34" s="15">
        <v>18.092583757500002</v>
      </c>
      <c r="AM34" s="16">
        <v>19.052669989999998</v>
      </c>
      <c r="AN34" s="16">
        <f t="shared" si="40"/>
        <v>0.96008623249999658</v>
      </c>
      <c r="AO34" s="17">
        <f t="shared" si="41"/>
        <v>5.3065181035959426E-2</v>
      </c>
      <c r="AP34" s="15">
        <v>18.092583757500002</v>
      </c>
      <c r="AQ34" s="16">
        <v>19.052669989999998</v>
      </c>
      <c r="AR34" s="16">
        <f t="shared" si="42"/>
        <v>0.96008623249999658</v>
      </c>
      <c r="AS34" s="17">
        <f t="shared" si="43"/>
        <v>5.3065181035959426E-2</v>
      </c>
    </row>
    <row r="35" spans="1:45" x14ac:dyDescent="0.3">
      <c r="A35" s="1" t="s">
        <v>8</v>
      </c>
      <c r="B35" s="23">
        <v>35</v>
      </c>
      <c r="C35" s="24">
        <v>35</v>
      </c>
      <c r="D35" s="24">
        <f t="shared" si="25"/>
        <v>0</v>
      </c>
      <c r="E35" s="17">
        <f t="shared" si="26"/>
        <v>0</v>
      </c>
      <c r="F35" s="15">
        <v>0.82857142839999998</v>
      </c>
      <c r="G35" s="16">
        <v>0.85714285700000004</v>
      </c>
      <c r="H35" s="16">
        <f t="shared" si="27"/>
        <v>2.8571428600000059E-2</v>
      </c>
      <c r="I35" s="17">
        <f t="shared" si="28"/>
        <v>3.448275866230685E-2</v>
      </c>
      <c r="J35" s="76">
        <v>29</v>
      </c>
      <c r="K35" s="77">
        <v>30</v>
      </c>
      <c r="L35" s="77">
        <f t="shared" si="29"/>
        <v>1</v>
      </c>
      <c r="M35" s="50">
        <f t="shared" si="30"/>
        <v>3.4482758620689655E-2</v>
      </c>
      <c r="N35" s="15">
        <v>42.09</v>
      </c>
      <c r="O35" s="16">
        <v>40.309916999999999</v>
      </c>
      <c r="P35" s="16">
        <f t="shared" si="31"/>
        <v>-1.7800830000000047</v>
      </c>
      <c r="Q35" s="17">
        <f t="shared" si="32"/>
        <v>-4.2292302209551075E-2</v>
      </c>
      <c r="R35" s="152">
        <v>5.8856622721223051E-2</v>
      </c>
      <c r="S35" s="153">
        <v>2.7420895087100002E-2</v>
      </c>
      <c r="T35" s="49">
        <f t="shared" si="33"/>
        <v>-3.1435727634123049E-2</v>
      </c>
      <c r="U35" s="50">
        <f t="shared" si="22"/>
        <v>-0.53410688858278088</v>
      </c>
      <c r="V35" s="15">
        <v>157.9259089</v>
      </c>
      <c r="W35" s="16">
        <v>154.83281360000001</v>
      </c>
      <c r="X35" s="16">
        <f t="shared" si="34"/>
        <v>-3.0930952999999874</v>
      </c>
      <c r="Y35" s="17">
        <f t="shared" si="35"/>
        <v>-1.958573689107948E-2</v>
      </c>
      <c r="Z35" s="55">
        <v>285.32789294268298</v>
      </c>
      <c r="AA35" s="49">
        <v>372.15395421079</v>
      </c>
      <c r="AB35" s="49">
        <f t="shared" si="23"/>
        <v>86.826061268107026</v>
      </c>
      <c r="AC35" s="50">
        <f t="shared" si="24"/>
        <v>0.30430274577308414</v>
      </c>
      <c r="AD35" s="55">
        <v>1.8067199672785701</v>
      </c>
      <c r="AE35" s="49">
        <v>2.4035858126253098</v>
      </c>
      <c r="AF35" s="49">
        <f t="shared" si="36"/>
        <v>0.5968658453467397</v>
      </c>
      <c r="AG35" s="50">
        <f t="shared" si="37"/>
        <v>0.33035880277882135</v>
      </c>
      <c r="AH35" s="15">
        <v>1.4005156830000001</v>
      </c>
      <c r="AI35" s="16">
        <v>1.449605773</v>
      </c>
      <c r="AJ35" s="16">
        <f t="shared" si="38"/>
        <v>4.9090089999999975E-2</v>
      </c>
      <c r="AK35" s="17">
        <f t="shared" si="39"/>
        <v>3.5051438977709737E-2</v>
      </c>
      <c r="AL35" s="15">
        <v>20.036474510000001</v>
      </c>
      <c r="AM35" s="16">
        <v>20.864757116</v>
      </c>
      <c r="AN35" s="16">
        <f t="shared" si="40"/>
        <v>0.82828260599999837</v>
      </c>
      <c r="AO35" s="17">
        <f t="shared" si="41"/>
        <v>4.1338739786114118E-2</v>
      </c>
      <c r="AP35" s="15">
        <v>20.036474510000001</v>
      </c>
      <c r="AQ35" s="16">
        <v>20.864757116</v>
      </c>
      <c r="AR35" s="16">
        <f t="shared" si="42"/>
        <v>0.82828260599999837</v>
      </c>
      <c r="AS35" s="17">
        <f t="shared" si="43"/>
        <v>4.1338739786114118E-2</v>
      </c>
    </row>
    <row r="36" spans="1:45" x14ac:dyDescent="0.3">
      <c r="A36" s="1" t="s">
        <v>9</v>
      </c>
      <c r="B36" s="23">
        <v>28</v>
      </c>
      <c r="C36" s="24">
        <v>28</v>
      </c>
      <c r="D36" s="24">
        <f t="shared" si="25"/>
        <v>0</v>
      </c>
      <c r="E36" s="17">
        <f t="shared" si="26"/>
        <v>0</v>
      </c>
      <c r="F36" s="15">
        <v>0.82142857125000002</v>
      </c>
      <c r="G36" s="16">
        <v>0.82142857125000002</v>
      </c>
      <c r="H36" s="16">
        <f t="shared" si="27"/>
        <v>0</v>
      </c>
      <c r="I36" s="17">
        <f t="shared" si="28"/>
        <v>0</v>
      </c>
      <c r="J36" s="76">
        <v>23</v>
      </c>
      <c r="K36" s="77">
        <v>23</v>
      </c>
      <c r="L36" s="77">
        <f t="shared" si="29"/>
        <v>0</v>
      </c>
      <c r="M36" s="50">
        <f t="shared" si="30"/>
        <v>0</v>
      </c>
      <c r="N36" s="15">
        <v>43.77</v>
      </c>
      <c r="O36" s="16">
        <v>41.616418060000001</v>
      </c>
      <c r="P36" s="16">
        <f t="shared" si="31"/>
        <v>-2.1535819400000022</v>
      </c>
      <c r="Q36" s="17">
        <f t="shared" si="32"/>
        <v>-4.9202237605666027E-2</v>
      </c>
      <c r="R36" s="152">
        <v>3.2934820909841234E-2</v>
      </c>
      <c r="S36" s="153">
        <v>3.4023088761659999E-2</v>
      </c>
      <c r="T36" s="49">
        <f t="shared" si="33"/>
        <v>1.0882678518187652E-3</v>
      </c>
      <c r="U36" s="50">
        <f t="shared" si="22"/>
        <v>3.3043077865760627E-2</v>
      </c>
      <c r="V36" s="15">
        <v>159.24171849999999</v>
      </c>
      <c r="W36" s="16">
        <v>150.1773168</v>
      </c>
      <c r="X36" s="16">
        <f t="shared" si="34"/>
        <v>-9.0644016999999906</v>
      </c>
      <c r="Y36" s="17">
        <f t="shared" si="35"/>
        <v>-5.6922280074489344E-2</v>
      </c>
      <c r="Z36" s="55">
        <v>298.63798976465199</v>
      </c>
      <c r="AA36" s="49">
        <v>372.15395421079</v>
      </c>
      <c r="AB36" s="49">
        <f t="shared" si="23"/>
        <v>73.515964446138014</v>
      </c>
      <c r="AC36" s="50">
        <f t="shared" si="24"/>
        <v>0.24617083882755114</v>
      </c>
      <c r="AD36" s="55">
        <v>1.87537532603515</v>
      </c>
      <c r="AE36" s="49">
        <v>2.4780969728166902</v>
      </c>
      <c r="AF36" s="49">
        <f t="shared" si="36"/>
        <v>0.60272164678154017</v>
      </c>
      <c r="AG36" s="50">
        <f t="shared" si="37"/>
        <v>0.32138721162328199</v>
      </c>
      <c r="AH36" s="15">
        <v>1.4005156830000001</v>
      </c>
      <c r="AI36" s="16">
        <v>1.449605773</v>
      </c>
      <c r="AJ36" s="16">
        <f t="shared" si="38"/>
        <v>4.9090089999999975E-2</v>
      </c>
      <c r="AK36" s="17">
        <f t="shared" si="39"/>
        <v>3.5051438977709737E-2</v>
      </c>
      <c r="AL36" s="15">
        <v>24.820115272500001</v>
      </c>
      <c r="AM36" s="16">
        <v>25.254081145000001</v>
      </c>
      <c r="AN36" s="16">
        <f t="shared" si="40"/>
        <v>0.43396587249999996</v>
      </c>
      <c r="AO36" s="17">
        <f t="shared" si="41"/>
        <v>1.7484442265295282E-2</v>
      </c>
      <c r="AP36" s="15">
        <v>24.820115272500001</v>
      </c>
      <c r="AQ36" s="16">
        <v>25.254081145000001</v>
      </c>
      <c r="AR36" s="16">
        <f t="shared" si="42"/>
        <v>0.43396587249999996</v>
      </c>
      <c r="AS36" s="17">
        <f t="shared" si="43"/>
        <v>1.7484442265295282E-2</v>
      </c>
    </row>
    <row r="37" spans="1:45" x14ac:dyDescent="0.3">
      <c r="A37" s="1" t="s">
        <v>10</v>
      </c>
      <c r="B37" s="23">
        <v>28</v>
      </c>
      <c r="C37" s="24">
        <v>28</v>
      </c>
      <c r="D37" s="24">
        <f t="shared" si="25"/>
        <v>0</v>
      </c>
      <c r="E37" s="80">
        <f t="shared" si="26"/>
        <v>0</v>
      </c>
      <c r="F37" s="15">
        <v>0.7857142855</v>
      </c>
      <c r="G37" s="16">
        <v>0.85714285700000004</v>
      </c>
      <c r="H37" s="16">
        <f t="shared" si="27"/>
        <v>7.1428571500000038E-2</v>
      </c>
      <c r="I37" s="80">
        <f t="shared" si="28"/>
        <v>9.0909091024793443E-2</v>
      </c>
      <c r="J37" s="76">
        <v>22</v>
      </c>
      <c r="K37" s="77">
        <v>24</v>
      </c>
      <c r="L37" s="77">
        <f t="shared" si="29"/>
        <v>2</v>
      </c>
      <c r="M37" s="50">
        <f t="shared" si="30"/>
        <v>9.0909090909090912E-2</v>
      </c>
      <c r="N37" s="15">
        <v>41.35</v>
      </c>
      <c r="O37" s="16">
        <v>43.515901569999997</v>
      </c>
      <c r="P37" s="16">
        <f t="shared" si="31"/>
        <v>2.1659015699999955</v>
      </c>
      <c r="Q37" s="80">
        <f t="shared" si="32"/>
        <v>5.2379723579201821E-2</v>
      </c>
      <c r="R37" s="152">
        <v>4.2545373094803107E-2</v>
      </c>
      <c r="S37" s="153">
        <v>3.81651E-2</v>
      </c>
      <c r="T37" s="49">
        <f t="shared" si="33"/>
        <v>-4.3802730948031068E-3</v>
      </c>
      <c r="U37" s="50">
        <f t="shared" si="22"/>
        <v>-0.10295533394530637</v>
      </c>
      <c r="V37" s="15">
        <v>163.71023450000001</v>
      </c>
      <c r="W37" s="16">
        <v>150.0330543</v>
      </c>
      <c r="X37" s="16">
        <f t="shared" si="34"/>
        <v>-13.677180200000009</v>
      </c>
      <c r="Y37" s="80">
        <f t="shared" si="35"/>
        <v>-8.3545052890386079E-2</v>
      </c>
      <c r="Z37" s="55">
        <v>315.61464215015297</v>
      </c>
      <c r="AA37" s="49">
        <v>387.04011237922202</v>
      </c>
      <c r="AB37" s="49">
        <f t="shared" si="23"/>
        <v>71.425470229069049</v>
      </c>
      <c r="AC37" s="50">
        <f t="shared" si="24"/>
        <v>0.22630594620856828</v>
      </c>
      <c r="AD37" s="55">
        <v>1.9278858351641399</v>
      </c>
      <c r="AE37" s="49">
        <v>2.57969894870218</v>
      </c>
      <c r="AF37" s="49">
        <f t="shared" si="36"/>
        <v>0.65181311353804006</v>
      </c>
      <c r="AG37" s="50">
        <f t="shared" si="37"/>
        <v>0.33809736118661032</v>
      </c>
      <c r="AH37" s="15">
        <v>1.416604781</v>
      </c>
      <c r="AI37" s="16">
        <v>1.4632576420000001</v>
      </c>
      <c r="AJ37" s="16">
        <f t="shared" si="38"/>
        <v>4.6652861000000101E-2</v>
      </c>
      <c r="AK37" s="80">
        <f t="shared" si="39"/>
        <v>3.2932869933607896E-2</v>
      </c>
      <c r="AL37" s="15">
        <v>27.9213897775</v>
      </c>
      <c r="AM37" s="16">
        <v>27.185594545000001</v>
      </c>
      <c r="AN37" s="16">
        <f t="shared" si="40"/>
        <v>-0.73579523249999923</v>
      </c>
      <c r="AO37" s="80">
        <f t="shared" si="41"/>
        <v>-2.6352385692954578E-2</v>
      </c>
      <c r="AP37" s="15">
        <v>27.9213897775</v>
      </c>
      <c r="AQ37" s="16">
        <v>27.185594545000001</v>
      </c>
      <c r="AR37" s="16">
        <f t="shared" si="42"/>
        <v>-0.73579523249999923</v>
      </c>
      <c r="AS37" s="80">
        <f t="shared" si="43"/>
        <v>-2.6352385692954578E-2</v>
      </c>
    </row>
    <row r="38" spans="1:45" ht="15" thickBot="1" x14ac:dyDescent="0.35">
      <c r="A38" s="4" t="s">
        <v>11</v>
      </c>
      <c r="B38" s="25">
        <v>39</v>
      </c>
      <c r="C38" s="26">
        <v>41</v>
      </c>
      <c r="D38" s="26">
        <f t="shared" si="25"/>
        <v>2</v>
      </c>
      <c r="E38" s="20">
        <f t="shared" si="26"/>
        <v>5.128205128205128E-2</v>
      </c>
      <c r="F38" s="18">
        <v>0.80259740239999999</v>
      </c>
      <c r="G38" s="19">
        <v>0.75384615359999996</v>
      </c>
      <c r="H38" s="19">
        <f t="shared" si="27"/>
        <v>-4.8751248800000035E-2</v>
      </c>
      <c r="I38" s="20">
        <f t="shared" si="28"/>
        <v>-6.0741847225295777E-2</v>
      </c>
      <c r="J38" s="78">
        <v>31</v>
      </c>
      <c r="K38" s="79">
        <v>31</v>
      </c>
      <c r="L38" s="79">
        <f t="shared" si="29"/>
        <v>0</v>
      </c>
      <c r="M38" s="54">
        <f t="shared" si="30"/>
        <v>0</v>
      </c>
      <c r="N38" s="18">
        <v>42.348258999999999</v>
      </c>
      <c r="O38" s="19">
        <v>42.881387320000002</v>
      </c>
      <c r="P38" s="19">
        <f t="shared" si="31"/>
        <v>0.53312832000000299</v>
      </c>
      <c r="Q38" s="17">
        <f t="shared" si="32"/>
        <v>1.258914374732626E-2</v>
      </c>
      <c r="R38" s="154">
        <v>3.7437073551383371E-2</v>
      </c>
      <c r="S38" s="155">
        <v>4.0374610247000002E-2</v>
      </c>
      <c r="T38" s="53">
        <f t="shared" si="33"/>
        <v>2.9375366956166313E-3</v>
      </c>
      <c r="U38" s="54">
        <f t="shared" si="22"/>
        <v>7.846598083006634E-2</v>
      </c>
      <c r="V38" s="18">
        <v>168.83969949999999</v>
      </c>
      <c r="W38" s="19">
        <v>147.86911599999999</v>
      </c>
      <c r="X38" s="19">
        <f t="shared" si="34"/>
        <v>-20.970583500000004</v>
      </c>
      <c r="Y38" s="20">
        <f t="shared" si="35"/>
        <v>-0.12420410343125494</v>
      </c>
      <c r="Z38" s="56">
        <v>330.38622008194397</v>
      </c>
      <c r="AA38" s="53">
        <v>396.71611518870202</v>
      </c>
      <c r="AB38" s="53">
        <f t="shared" si="23"/>
        <v>66.329895106758045</v>
      </c>
      <c r="AC38" s="54">
        <f t="shared" si="24"/>
        <v>0.20076471437067378</v>
      </c>
      <c r="AD38" s="56">
        <v>1.9568041226916</v>
      </c>
      <c r="AE38" s="53">
        <v>2.6828869066502601</v>
      </c>
      <c r="AF38" s="53">
        <f t="shared" si="36"/>
        <v>0.72608278395866011</v>
      </c>
      <c r="AG38" s="54">
        <f t="shared" si="37"/>
        <v>0.37105542427002214</v>
      </c>
      <c r="AH38" s="18">
        <v>1.4339379750000001</v>
      </c>
      <c r="AI38" s="19">
        <v>1.47196645</v>
      </c>
      <c r="AJ38" s="19">
        <f t="shared" si="38"/>
        <v>3.8028474999999951E-2</v>
      </c>
      <c r="AK38" s="20">
        <f t="shared" si="39"/>
        <v>2.6520306779656874E-2</v>
      </c>
      <c r="AL38" s="18">
        <v>30.695088972000001</v>
      </c>
      <c r="AM38" s="19">
        <v>29.542464282000001</v>
      </c>
      <c r="AN38" s="19">
        <f t="shared" si="40"/>
        <v>-1.1526246899999997</v>
      </c>
      <c r="AO38" s="20">
        <f t="shared" si="41"/>
        <v>-3.7550785112609432E-2</v>
      </c>
      <c r="AP38" s="18">
        <v>30.695088972000001</v>
      </c>
      <c r="AQ38" s="19">
        <v>29.542464282000001</v>
      </c>
      <c r="AR38" s="19">
        <f t="shared" si="42"/>
        <v>-1.1526246899999997</v>
      </c>
      <c r="AS38" s="20">
        <f t="shared" si="43"/>
        <v>-3.7550785112609432E-2</v>
      </c>
    </row>
    <row r="39" spans="1:45" ht="15" thickBot="1" x14ac:dyDescent="0.35">
      <c r="A39" s="4" t="s">
        <v>15</v>
      </c>
      <c r="B39" s="25">
        <f>SUM(B27:B38)</f>
        <v>365</v>
      </c>
      <c r="C39" s="26">
        <f>SUM(C27:C38)</f>
        <v>366</v>
      </c>
      <c r="D39" s="26">
        <f>C39-B39</f>
        <v>1</v>
      </c>
      <c r="E39" s="83">
        <f>(C39-B39)/B39</f>
        <v>2.7397260273972603E-3</v>
      </c>
      <c r="F39" s="18">
        <f>(4*SUM(F27:F28,F30:F31,F33:F34,F36:F37)+5*SUM(F29,F32,F35,F38))/52</f>
        <v>0.79763985995879128</v>
      </c>
      <c r="G39" s="19">
        <f>(4*SUM(G27:G28,G30:G31,G33:G34,G36:G37)+5*SUM(G29,G32,G35,G38))/52</f>
        <v>0.80508593950000007</v>
      </c>
      <c r="H39" s="19">
        <f>G39-F39</f>
        <v>7.4460795412087943E-3</v>
      </c>
      <c r="I39" s="83">
        <f>(G39-F39)/F39</f>
        <v>9.3351397228236353E-3</v>
      </c>
      <c r="J39" s="78">
        <f>SUM(J27:J38)</f>
        <v>291</v>
      </c>
      <c r="K39" s="79">
        <f>SUM(K27:K38)</f>
        <v>295</v>
      </c>
      <c r="L39" s="79">
        <f>K39-J39</f>
        <v>4</v>
      </c>
      <c r="M39" s="54">
        <f>(K39-J39)/J39</f>
        <v>1.3745704467353952E-2</v>
      </c>
      <c r="N39" s="18">
        <f>(4*SUM(N27:N28,N30:N31,N33:N34,N36:N37)+5*SUM(N29,N32,N35,N38))/52</f>
        <v>39.302140288461537</v>
      </c>
      <c r="O39" s="19">
        <f>(4*SUM(O27:O28,O30:O31,O33:O34,O36:O37)+5*SUM(O29,O32,O35,O38))/52</f>
        <v>40.996605656153847</v>
      </c>
      <c r="P39" s="19">
        <f>O39-N39</f>
        <v>1.6944653676923096</v>
      </c>
      <c r="Q39" s="83">
        <f>(O39-N39)/N39</f>
        <v>4.3113819126786253E-2</v>
      </c>
      <c r="R39" s="51">
        <f>PRODUCT((1+R27),(1+R28),(1+R29),(1+R30),(1+R31),(1+R32),(1+R33),(1+R34),(1+R35),(1+R36),(1+R37),(1+R38))-1</f>
        <v>0.53832402016333858</v>
      </c>
      <c r="S39" s="52">
        <f>PRODUCT((1+S27),(1+S28),(1+S29),(1+S30),(1+S31),(1+S32),(1+S33),(1+S34),(1+S35),(1+S36),(1+S37),(1+S38))-1</f>
        <v>0.36451578844015486</v>
      </c>
      <c r="T39" s="53">
        <f>S39-R39</f>
        <v>-0.17380823172318371</v>
      </c>
      <c r="U39" s="54">
        <f>(S39-R39)/R39</f>
        <v>-0.32286917397898524</v>
      </c>
      <c r="V39" s="18">
        <f>(4*SUM(V27:V28,V30:V31,V33:V34,V36:V37)+5*SUM(V29,V32,V35,V38))/52</f>
        <v>156.17302476153847</v>
      </c>
      <c r="W39" s="19">
        <f>(4*SUM(W27:W28,W30:W31,W33:W34,W36:W37)+5*SUM(W29,W32,W35,W38))/52</f>
        <v>153.47378787692307</v>
      </c>
      <c r="X39" s="19">
        <f>W39-V39</f>
        <v>-2.6992368846154022</v>
      </c>
      <c r="Y39" s="83">
        <f>(W39-V39)/V39</f>
        <v>-1.7283630695742003E-2</v>
      </c>
      <c r="Z39" s="56">
        <f>(4*SUM(Z27:Z28,Z30:Z31,Z33:Z34,Z36:Z37)+5*SUM(Z29,Z32,Z35,Z38))/52</f>
        <v>263.73151605038561</v>
      </c>
      <c r="AA39" s="53">
        <f>(4*SUM(AA27:AA28,AA30:AA31,AA33:AA34,AA36:AA37)+5*SUM(AA29,AA32,AA35,AA38))/52</f>
        <v>360.79697190319615</v>
      </c>
      <c r="AB39" s="53">
        <f t="shared" ref="AB39" si="44">AA39-Z39</f>
        <v>97.065455852810544</v>
      </c>
      <c r="AC39" s="54">
        <f t="shared" ref="AC39" si="45">(AA39-Z39)/Z39</f>
        <v>0.36804647888296482</v>
      </c>
      <c r="AD39" s="56">
        <f>(4*SUM(AD27:AD28,AD30:AD31,AD33:AD34,AD36:AD37)+5*SUM(AD29,AD32,AD35,AD38))/52</f>
        <v>1.6835675975782005</v>
      </c>
      <c r="AE39" s="53">
        <f>(4*SUM(AE27:AE28,AE30:AE31,AE33:AE34,AE36:AE37)+5*SUM(AE29,AE32,AE35,AE38))/52</f>
        <v>2.3535393355077048</v>
      </c>
      <c r="AF39" s="53">
        <f>AE39-AD39</f>
        <v>0.66997173792950426</v>
      </c>
      <c r="AG39" s="173">
        <f>(AE39-AD39)/AD39</f>
        <v>0.39794763150184981</v>
      </c>
      <c r="AH39" s="18">
        <f>(4*SUM(AH27:AH28,AH30:AH31,AH33:AH34,AH36:AH37)+5*SUM(AH29,AH32,AH35,AH38))/52</f>
        <v>1.3745920688653848</v>
      </c>
      <c r="AI39" s="19">
        <f>(4*SUM(AI27:AI28,AI30:AI31,AI33:AI34,AI36:AI37)+5*SUM(AI29,AI32,AI35,AI38))/52</f>
        <v>1.4376826369615385</v>
      </c>
      <c r="AJ39" s="19">
        <f>AI39-AH39</f>
        <v>6.3090568096153765E-2</v>
      </c>
      <c r="AK39" s="83">
        <f>(AI39-AH39)/AH39</f>
        <v>4.5897666315090818E-2</v>
      </c>
      <c r="AL39" s="18">
        <f>(4*SUM(AL27:AL28,AL30:AL31,AL33:AL34,AL36:AL37)+5*SUM(AL29,AL32,AL35,AL38))/52</f>
        <v>24.512333040961536</v>
      </c>
      <c r="AM39" s="19">
        <f>(4*SUM(AM27:AM28,AM30:AM31,AM33:AM34,AM36:AM37)+5*SUM(AM29,AM32,AM35,AM38))/52</f>
        <v>25.083992860769232</v>
      </c>
      <c r="AN39" s="19">
        <f>AM39-AL39</f>
        <v>0.57165981980769587</v>
      </c>
      <c r="AO39" s="169">
        <f>(AM39-AL39)/AL39</f>
        <v>2.3321314166726562E-2</v>
      </c>
      <c r="AP39" s="18">
        <f>(4*SUM(AP27:AP28,AP30:AP31,AP33:AP34,AP36:AP37)+5*SUM(AP29,AP32,AP35,AP38))/52</f>
        <v>24.512333040961536</v>
      </c>
      <c r="AQ39" s="19">
        <f>(4*SUM(AQ27:AQ28,AQ30:AQ31,AQ33:AQ34,AQ36:AQ37)+5*SUM(AQ29,AQ32,AQ35,AQ38))/52</f>
        <v>25.083992860769232</v>
      </c>
      <c r="AR39" s="19">
        <f>AQ39-AP39</f>
        <v>0.57165981980769587</v>
      </c>
      <c r="AS39" s="169">
        <f>(AQ39-AP39)/AP39</f>
        <v>2.3321314166726562E-2</v>
      </c>
    </row>
    <row r="40" spans="1:45" x14ac:dyDescent="0.3">
      <c r="B40" s="3"/>
      <c r="C40" s="3"/>
      <c r="D40" s="3"/>
      <c r="E40" s="3"/>
      <c r="F40" s="3"/>
      <c r="G40" s="3"/>
      <c r="H40" s="3"/>
      <c r="I40" s="3"/>
      <c r="J40" s="3"/>
      <c r="K40" s="3"/>
      <c r="L40" s="3"/>
      <c r="M40" s="3"/>
      <c r="N40" s="3"/>
      <c r="O40" s="3"/>
      <c r="P40" s="3"/>
      <c r="Q40" s="3"/>
    </row>
  </sheetData>
  <mergeCells count="49">
    <mergeCell ref="AP8:AS8"/>
    <mergeCell ref="AP24:AS24"/>
    <mergeCell ref="AP25:AS25"/>
    <mergeCell ref="V1:Y5"/>
    <mergeCell ref="Z1:AC5"/>
    <mergeCell ref="AD1:AG5"/>
    <mergeCell ref="AH1:AK5"/>
    <mergeCell ref="AL1:AO5"/>
    <mergeCell ref="AP1:AS5"/>
    <mergeCell ref="J1:M5"/>
    <mergeCell ref="J8:M8"/>
    <mergeCell ref="J25:M25"/>
    <mergeCell ref="B7:M7"/>
    <mergeCell ref="B24:M24"/>
    <mergeCell ref="B1:E5"/>
    <mergeCell ref="F1:I5"/>
    <mergeCell ref="B8:E8"/>
    <mergeCell ref="F8:I8"/>
    <mergeCell ref="B25:E25"/>
    <mergeCell ref="F25:I25"/>
    <mergeCell ref="N7:Q7"/>
    <mergeCell ref="R7:U7"/>
    <mergeCell ref="V7:Y7"/>
    <mergeCell ref="AP7:AS7"/>
    <mergeCell ref="Z7:AG7"/>
    <mergeCell ref="AH7:AK7"/>
    <mergeCell ref="N1:Q5"/>
    <mergeCell ref="R1:U5"/>
    <mergeCell ref="AL7:AO7"/>
    <mergeCell ref="AD8:AG8"/>
    <mergeCell ref="AH8:AK8"/>
    <mergeCell ref="AL8:AO8"/>
    <mergeCell ref="N24:Q24"/>
    <mergeCell ref="R24:U24"/>
    <mergeCell ref="V24:Y24"/>
    <mergeCell ref="Z24:AG24"/>
    <mergeCell ref="AH24:AK24"/>
    <mergeCell ref="AL24:AO24"/>
    <mergeCell ref="N8:Q8"/>
    <mergeCell ref="R8:U8"/>
    <mergeCell ref="V8:Y8"/>
    <mergeCell ref="Z8:AC8"/>
    <mergeCell ref="AD25:AG25"/>
    <mergeCell ref="AH25:AK25"/>
    <mergeCell ref="AL25:AO25"/>
    <mergeCell ref="Z25:AC25"/>
    <mergeCell ref="N25:Q25"/>
    <mergeCell ref="R25:U25"/>
    <mergeCell ref="V25:Y25"/>
  </mergeCells>
  <pageMargins left="0.7" right="0.7" top="0.75" bottom="0.75" header="0.3" footer="0.3"/>
  <pageSetup paperSize="9" orientation="portrait" horizontalDpi="300" verticalDpi="300" r:id="rId1"/>
  <headerFooter>
    <oddFooter>&amp;C&amp;1#&amp;"Calibri"&amp;10&amp;K000000Classified - Confidential</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M37"/>
  <sheetViews>
    <sheetView showGridLines="0" zoomScale="80" zoomScaleNormal="80" workbookViewId="0">
      <pane xSplit="1" topLeftCell="B1" activePane="topRight" state="frozen"/>
      <selection pane="topRight" activeCell="B1" sqref="B1:J1"/>
    </sheetView>
  </sheetViews>
  <sheetFormatPr baseColWidth="10" defaultColWidth="26.44140625" defaultRowHeight="14.4" outlineLevelRow="1" x14ac:dyDescent="0.3"/>
  <cols>
    <col min="1" max="1" width="12.44140625" bestFit="1" customWidth="1"/>
    <col min="2" max="2" width="13.44140625" bestFit="1" customWidth="1"/>
    <col min="3" max="3" width="11.33203125" bestFit="1" customWidth="1"/>
    <col min="4" max="5" width="13.44140625" bestFit="1" customWidth="1"/>
    <col min="6" max="6" width="17.6640625" bestFit="1" customWidth="1"/>
    <col min="7" max="7" width="12" bestFit="1" customWidth="1"/>
    <col min="8" max="8" width="12" style="250" customWidth="1"/>
    <col min="9" max="9" width="12.6640625" bestFit="1" customWidth="1"/>
    <col min="10" max="10" width="17.109375" bestFit="1" customWidth="1"/>
    <col min="11" max="11" width="17.109375" customWidth="1"/>
    <col min="12" max="12" width="10.33203125" customWidth="1"/>
    <col min="13" max="13" width="100.44140625" customWidth="1"/>
  </cols>
  <sheetData>
    <row r="1" spans="1:13" ht="25.8" x14ac:dyDescent="0.5">
      <c r="B1" s="305" t="s">
        <v>46</v>
      </c>
      <c r="C1" s="305"/>
      <c r="D1" s="305"/>
      <c r="E1" s="305"/>
      <c r="F1" s="305"/>
      <c r="G1" s="305"/>
      <c r="H1" s="305"/>
      <c r="I1" s="305"/>
      <c r="J1" s="305"/>
      <c r="K1" s="102"/>
    </row>
    <row r="2" spans="1:13" x14ac:dyDescent="0.3">
      <c r="A2" s="306" t="str">
        <f>'Andina DT'!A2:J2</f>
        <v>w47</v>
      </c>
      <c r="B2" s="306"/>
      <c r="C2" s="306"/>
      <c r="D2" s="306"/>
      <c r="E2" s="306"/>
      <c r="F2" s="306"/>
      <c r="G2" s="306"/>
      <c r="H2" s="306"/>
      <c r="I2" s="306"/>
      <c r="J2" s="306"/>
      <c r="K2" s="103"/>
      <c r="M2" s="130" t="str">
        <f>"Comentarios "&amp;A2</f>
        <v>Comentarios w47</v>
      </c>
    </row>
    <row r="3" spans="1:13" ht="43.2" x14ac:dyDescent="0.3">
      <c r="A3" s="5" t="s">
        <v>34</v>
      </c>
      <c r="B3" s="5" t="s">
        <v>26</v>
      </c>
      <c r="C3" s="40" t="s">
        <v>21</v>
      </c>
      <c r="D3" s="40" t="s">
        <v>22</v>
      </c>
      <c r="E3" s="40" t="s">
        <v>23</v>
      </c>
      <c r="F3" s="40" t="s">
        <v>24</v>
      </c>
      <c r="G3" s="40" t="s">
        <v>25</v>
      </c>
      <c r="H3" s="40" t="s">
        <v>60</v>
      </c>
      <c r="I3" s="5" t="s">
        <v>62</v>
      </c>
      <c r="J3" s="5" t="s">
        <v>65</v>
      </c>
      <c r="K3" s="5" t="s">
        <v>66</v>
      </c>
    </row>
    <row r="4" spans="1:13" ht="15" customHeight="1" x14ac:dyDescent="0.3">
      <c r="A4" s="6" t="s">
        <v>0</v>
      </c>
      <c r="B4" s="7">
        <v>6879630.0273000002</v>
      </c>
      <c r="C4" s="7">
        <v>-26879.2651824649</v>
      </c>
      <c r="D4" s="7">
        <v>333740.43173522799</v>
      </c>
      <c r="E4" s="7">
        <v>-164724.13494660301</v>
      </c>
      <c r="F4" s="7">
        <v>-674563.282010464</v>
      </c>
      <c r="G4" s="7">
        <v>313645.41524252499</v>
      </c>
      <c r="H4" s="7">
        <v>1</v>
      </c>
      <c r="I4" s="7">
        <v>819656.80236177496</v>
      </c>
      <c r="J4" s="7">
        <f>SUM(B4:I4)</f>
        <v>7480506.9944999954</v>
      </c>
      <c r="K4" s="123">
        <f t="shared" ref="K4:K16" si="0">J4/B4-1</f>
        <v>8.7341465284553443E-2</v>
      </c>
      <c r="L4" s="90"/>
      <c r="M4" s="317"/>
    </row>
    <row r="5" spans="1:13" x14ac:dyDescent="0.3">
      <c r="A5" s="6" t="s">
        <v>1</v>
      </c>
      <c r="B5" s="7">
        <v>9715413.1400000006</v>
      </c>
      <c r="C5" s="7">
        <v>0</v>
      </c>
      <c r="D5" s="7">
        <v>307924.29371855501</v>
      </c>
      <c r="E5" s="7">
        <v>9866.5147862966696</v>
      </c>
      <c r="F5" s="7">
        <v>-1016458.37545004</v>
      </c>
      <c r="G5" s="7">
        <v>-85901.359582038203</v>
      </c>
      <c r="H5" s="7">
        <v>1</v>
      </c>
      <c r="I5" s="7">
        <v>996036.56252721394</v>
      </c>
      <c r="J5" s="7">
        <f t="shared" ref="J5:J15" si="1">SUM(B5:I5)</f>
        <v>9926881.7759999875</v>
      </c>
      <c r="K5" s="124">
        <f t="shared" si="0"/>
        <v>2.1766304011235027E-2</v>
      </c>
      <c r="L5" s="90"/>
      <c r="M5" s="317"/>
    </row>
    <row r="6" spans="1:13" x14ac:dyDescent="0.3">
      <c r="A6" s="6" t="s">
        <v>2</v>
      </c>
      <c r="B6" s="7">
        <v>10976716.488</v>
      </c>
      <c r="C6" s="7">
        <v>-425680.55688574398</v>
      </c>
      <c r="D6" s="7">
        <v>324753.84503984399</v>
      </c>
      <c r="E6" s="7">
        <v>-21518.271432720401</v>
      </c>
      <c r="F6" s="7">
        <v>-1133853.4147270799</v>
      </c>
      <c r="G6" s="7">
        <v>696391.99511666305</v>
      </c>
      <c r="H6" s="7">
        <v>1</v>
      </c>
      <c r="I6" s="7">
        <v>205656.51036029999</v>
      </c>
      <c r="J6" s="7">
        <f t="shared" si="1"/>
        <v>10622467.595471263</v>
      </c>
      <c r="K6" s="124">
        <f t="shared" si="0"/>
        <v>-3.2272755966322952E-2</v>
      </c>
      <c r="L6" s="90"/>
      <c r="M6" s="317"/>
    </row>
    <row r="7" spans="1:13" x14ac:dyDescent="0.3">
      <c r="A7" s="6" t="s">
        <v>3</v>
      </c>
      <c r="B7" s="7">
        <v>8215628.2460000003</v>
      </c>
      <c r="C7" s="100">
        <v>172496.14268225001</v>
      </c>
      <c r="D7" s="7">
        <v>182522.95602601301</v>
      </c>
      <c r="E7" s="7">
        <v>-72266.017175088302</v>
      </c>
      <c r="F7" s="7">
        <v>-809120.18497880502</v>
      </c>
      <c r="G7" s="7">
        <v>73181.772611875698</v>
      </c>
      <c r="H7" s="7">
        <v>1</v>
      </c>
      <c r="I7" s="7">
        <v>-45573.0563841939</v>
      </c>
      <c r="J7" s="7">
        <f t="shared" si="1"/>
        <v>7716870.858782053</v>
      </c>
      <c r="K7" s="124">
        <f t="shared" si="0"/>
        <v>-6.0708368524437617E-2</v>
      </c>
      <c r="L7" s="90"/>
      <c r="M7" s="317"/>
    </row>
    <row r="8" spans="1:13" x14ac:dyDescent="0.3">
      <c r="A8" s="6" t="s">
        <v>4</v>
      </c>
      <c r="B8" s="7">
        <v>7168414.7280000001</v>
      </c>
      <c r="C8" s="100">
        <v>150584.45016784099</v>
      </c>
      <c r="D8" s="7">
        <v>66724.343524695301</v>
      </c>
      <c r="E8" s="7">
        <v>-69648.744545194495</v>
      </c>
      <c r="F8" s="7">
        <v>-679388.12928517396</v>
      </c>
      <c r="G8" s="7">
        <v>374992.749375185</v>
      </c>
      <c r="H8" s="7">
        <v>1</v>
      </c>
      <c r="I8" s="7">
        <v>382208.90968696499</v>
      </c>
      <c r="J8" s="7">
        <f t="shared" si="1"/>
        <v>7393889.306924318</v>
      </c>
      <c r="K8" s="124">
        <f t="shared" si="0"/>
        <v>3.1453897058105307E-2</v>
      </c>
      <c r="L8" s="90"/>
      <c r="M8" s="317"/>
    </row>
    <row r="9" spans="1:13" x14ac:dyDescent="0.3">
      <c r="A9" s="6" t="s">
        <v>5</v>
      </c>
      <c r="B9" s="7">
        <v>9525289.8110000007</v>
      </c>
      <c r="C9" s="100">
        <v>-12867.832571818</v>
      </c>
      <c r="D9" s="7">
        <v>-47951.698601213902</v>
      </c>
      <c r="E9" s="7">
        <v>-141695.52752973299</v>
      </c>
      <c r="F9" s="7">
        <v>-815464.87435130903</v>
      </c>
      <c r="G9" s="7">
        <v>225957.252035971</v>
      </c>
      <c r="H9" s="7">
        <v>1</v>
      </c>
      <c r="I9" s="7">
        <v>306902.93091515702</v>
      </c>
      <c r="J9" s="7">
        <f t="shared" si="1"/>
        <v>9040171.0608970542</v>
      </c>
      <c r="K9" s="124">
        <f t="shared" si="0"/>
        <v>-5.0929552772527864E-2</v>
      </c>
      <c r="L9" s="90"/>
      <c r="M9" s="317"/>
    </row>
    <row r="10" spans="1:13" x14ac:dyDescent="0.3">
      <c r="A10" s="6" t="s">
        <v>6</v>
      </c>
      <c r="B10" s="7">
        <v>8403818.5130000003</v>
      </c>
      <c r="C10" s="100">
        <v>147720.32478791801</v>
      </c>
      <c r="D10" s="7">
        <v>-215821.21246277599</v>
      </c>
      <c r="E10" s="7">
        <v>-133072.58891004001</v>
      </c>
      <c r="F10" s="7">
        <v>-659879.96783109999</v>
      </c>
      <c r="G10" s="7">
        <v>56309.127245516502</v>
      </c>
      <c r="H10" s="7">
        <v>1</v>
      </c>
      <c r="I10" s="7">
        <v>-681838.92095455201</v>
      </c>
      <c r="J10" s="7">
        <f t="shared" si="1"/>
        <v>6917236.2748749666</v>
      </c>
      <c r="K10" s="124">
        <f t="shared" si="0"/>
        <v>-0.17689366278262864</v>
      </c>
      <c r="L10" s="90"/>
      <c r="M10" s="317"/>
    </row>
    <row r="11" spans="1:13" x14ac:dyDescent="0.3">
      <c r="A11" s="6" t="s">
        <v>7</v>
      </c>
      <c r="B11" s="7">
        <v>7639533.0559999999</v>
      </c>
      <c r="C11" s="7">
        <v>0</v>
      </c>
      <c r="D11" s="7">
        <v>-19501.024770580301</v>
      </c>
      <c r="E11" s="7">
        <v>-122922.754746629</v>
      </c>
      <c r="F11" s="7">
        <v>-398434.26465467497</v>
      </c>
      <c r="G11" s="7">
        <v>236948.95332825999</v>
      </c>
      <c r="H11" s="7">
        <v>1</v>
      </c>
      <c r="I11" s="7">
        <v>144666.65140545499</v>
      </c>
      <c r="J11" s="7">
        <f t="shared" si="1"/>
        <v>7480291.616561831</v>
      </c>
      <c r="K11" s="124">
        <f t="shared" si="0"/>
        <v>-2.0844394319768367E-2</v>
      </c>
      <c r="L11" s="90"/>
      <c r="M11" s="317"/>
    </row>
    <row r="12" spans="1:13" ht="15" customHeight="1" x14ac:dyDescent="0.3">
      <c r="A12" s="6" t="s">
        <v>8</v>
      </c>
      <c r="B12" s="7">
        <v>10190003.214</v>
      </c>
      <c r="C12" s="7">
        <v>174054.97088563201</v>
      </c>
      <c r="D12" s="7">
        <v>-84805.5270465879</v>
      </c>
      <c r="E12" s="7">
        <v>110580.746471027</v>
      </c>
      <c r="F12" s="7">
        <v>-270546.00914226798</v>
      </c>
      <c r="G12" s="7">
        <v>87615.683928751096</v>
      </c>
      <c r="H12" s="7">
        <v>1</v>
      </c>
      <c r="I12" s="7">
        <v>-101833.814107664</v>
      </c>
      <c r="J12" s="7">
        <f t="shared" si="1"/>
        <v>10105070.26498889</v>
      </c>
      <c r="K12" s="124">
        <f t="shared" si="0"/>
        <v>-8.3349285792589933E-3</v>
      </c>
      <c r="L12" s="90"/>
      <c r="M12" s="317"/>
    </row>
    <row r="13" spans="1:13" x14ac:dyDescent="0.3">
      <c r="A13" s="6" t="s">
        <v>9</v>
      </c>
      <c r="B13" s="7">
        <v>8908227.6129999999</v>
      </c>
      <c r="C13" s="7">
        <v>0</v>
      </c>
      <c r="D13" s="7">
        <v>-198078.67717756299</v>
      </c>
      <c r="E13" s="7">
        <v>228547.94354381799</v>
      </c>
      <c r="F13" s="7">
        <v>-629514.39250946196</v>
      </c>
      <c r="G13" s="7">
        <v>511265.18813623203</v>
      </c>
      <c r="H13" s="7">
        <v>1</v>
      </c>
      <c r="I13" s="7">
        <v>-623382.55575240403</v>
      </c>
      <c r="J13" s="7">
        <f t="shared" si="1"/>
        <v>8197066.1192406192</v>
      </c>
      <c r="K13" s="124">
        <f t="shared" si="0"/>
        <v>-7.9831985065308086E-2</v>
      </c>
      <c r="L13" s="90"/>
      <c r="M13" s="317"/>
    </row>
    <row r="14" spans="1:13" ht="15" customHeight="1" x14ac:dyDescent="0.3">
      <c r="A14" s="6" t="s">
        <v>10</v>
      </c>
      <c r="B14" s="7">
        <v>9464128.9930000007</v>
      </c>
      <c r="C14" s="7">
        <v>349119.45743966399</v>
      </c>
      <c r="D14" s="7">
        <v>-82909.377897669794</v>
      </c>
      <c r="E14" s="7">
        <v>161358.69912831599</v>
      </c>
      <c r="F14" s="7">
        <v>-833331.19272139203</v>
      </c>
      <c r="G14" s="7">
        <v>-460075.35933317302</v>
      </c>
      <c r="H14" s="7">
        <v>1</v>
      </c>
      <c r="I14" s="7">
        <v>-171512.31109827801</v>
      </c>
      <c r="J14" s="7">
        <f t="shared" si="1"/>
        <v>8426779.9085174687</v>
      </c>
      <c r="K14" s="124">
        <f t="shared" si="0"/>
        <v>-0.10960851075146916</v>
      </c>
      <c r="L14" s="90"/>
      <c r="M14" s="112"/>
    </row>
    <row r="15" spans="1:13" x14ac:dyDescent="0.3">
      <c r="A15" s="6" t="s">
        <v>11</v>
      </c>
      <c r="B15" s="7">
        <v>17144848.445</v>
      </c>
      <c r="C15" s="7">
        <v>-293278.34614028898</v>
      </c>
      <c r="D15" s="7">
        <v>-255063.09158495499</v>
      </c>
      <c r="E15" s="7">
        <v>622870.48920977104</v>
      </c>
      <c r="F15" s="7">
        <v>-1368156.7131952499</v>
      </c>
      <c r="G15" s="7">
        <v>-81409.322701522702</v>
      </c>
      <c r="H15" s="7">
        <v>1</v>
      </c>
      <c r="I15" s="7">
        <v>-1670276.6529620199</v>
      </c>
      <c r="J15" s="7">
        <f t="shared" si="1"/>
        <v>14099535.807625737</v>
      </c>
      <c r="K15" s="124">
        <f t="shared" si="0"/>
        <v>-0.17762260466422353</v>
      </c>
      <c r="L15" s="90"/>
      <c r="M15" s="112"/>
    </row>
    <row r="16" spans="1:13" x14ac:dyDescent="0.3">
      <c r="A16" s="8" t="s">
        <v>27</v>
      </c>
      <c r="B16" s="9">
        <f t="shared" ref="B16:J16" si="2">SUM(B4:B15)</f>
        <v>114231652.27430001</v>
      </c>
      <c r="C16" s="9">
        <f t="shared" si="2"/>
        <v>235269.34518298914</v>
      </c>
      <c r="D16" s="9">
        <f t="shared" si="2"/>
        <v>311535.26050298952</v>
      </c>
      <c r="E16" s="9">
        <f t="shared" si="2"/>
        <v>407376.35385322047</v>
      </c>
      <c r="F16" s="9">
        <f t="shared" si="2"/>
        <v>-9288710.8008570187</v>
      </c>
      <c r="G16" s="9">
        <f t="shared" si="2"/>
        <v>1948922.0954042454</v>
      </c>
      <c r="H16" s="9">
        <f t="shared" si="2"/>
        <v>12</v>
      </c>
      <c r="I16" s="9">
        <f t="shared" si="2"/>
        <v>-439288.94400224579</v>
      </c>
      <c r="J16" s="9">
        <f t="shared" si="2"/>
        <v>107406767.58438419</v>
      </c>
      <c r="K16" s="125">
        <f t="shared" si="0"/>
        <v>-5.9746003441563555E-2</v>
      </c>
      <c r="L16" s="162"/>
      <c r="M16" s="112"/>
    </row>
    <row r="17" spans="1:13" x14ac:dyDescent="0.3">
      <c r="D17" s="91"/>
      <c r="E17" s="91"/>
      <c r="I17" s="88"/>
      <c r="J17" s="91"/>
      <c r="M17" s="112"/>
    </row>
    <row r="18" spans="1:13" ht="43.2" hidden="1" outlineLevel="1" x14ac:dyDescent="0.3">
      <c r="A18" s="86"/>
      <c r="B18" s="86"/>
      <c r="C18" s="86" t="s">
        <v>21</v>
      </c>
      <c r="D18" s="86" t="s">
        <v>22</v>
      </c>
      <c r="E18" s="86" t="s">
        <v>23</v>
      </c>
      <c r="F18" s="86" t="s">
        <v>24</v>
      </c>
      <c r="G18" s="86" t="s">
        <v>25</v>
      </c>
      <c r="H18" s="86" t="s">
        <v>60</v>
      </c>
      <c r="I18" s="86" t="s">
        <v>62</v>
      </c>
      <c r="J18" s="86" t="s">
        <v>65</v>
      </c>
      <c r="M18" s="27"/>
    </row>
    <row r="19" spans="1:13" hidden="1" outlineLevel="1" x14ac:dyDescent="0.3">
      <c r="A19" s="307" t="str">
        <f>"Dif. FY " &amp; A2 &amp; " vs " &amp; A22</f>
        <v>Dif. FY w47 vs w43</v>
      </c>
      <c r="B19" s="308"/>
      <c r="C19" s="87">
        <f>C16-C36</f>
        <v>-6902.3596894224756</v>
      </c>
      <c r="D19" s="87">
        <f t="shared" ref="D19:J19" si="3">D16-D36</f>
        <v>-581432.89358042541</v>
      </c>
      <c r="E19" s="87">
        <f t="shared" si="3"/>
        <v>16472.075350960891</v>
      </c>
      <c r="F19" s="87">
        <f t="shared" si="3"/>
        <v>18363.796429002658</v>
      </c>
      <c r="G19" s="87">
        <f t="shared" si="3"/>
        <v>199609.43187953951</v>
      </c>
      <c r="H19" s="87">
        <f t="shared" ref="H19" si="4">H16-H36</f>
        <v>0</v>
      </c>
      <c r="I19" s="87">
        <f t="shared" si="3"/>
        <v>25717.678383085178</v>
      </c>
      <c r="J19" s="87">
        <f t="shared" si="3"/>
        <v>-328172.27122724056</v>
      </c>
      <c r="M19" s="27"/>
    </row>
    <row r="20" spans="1:13" hidden="1" outlineLevel="1" x14ac:dyDescent="0.3">
      <c r="A20" s="307" t="str">
        <f>"Var. FY " &amp; A2 &amp; " vs " &amp; A22</f>
        <v>Var. FY w47 vs w43</v>
      </c>
      <c r="B20" s="308"/>
      <c r="C20" s="134">
        <f>(C16-C36)/ABS(C36)</f>
        <v>-2.8501924669766809E-2</v>
      </c>
      <c r="D20" s="134">
        <f t="shared" ref="D20:J20" si="5">(D16-D36)/ABS(D36)</f>
        <v>-0.65112388490184836</v>
      </c>
      <c r="E20" s="134">
        <f t="shared" si="5"/>
        <v>4.2138385934462667E-2</v>
      </c>
      <c r="F20" s="134">
        <f t="shared" si="5"/>
        <v>1.9731008102543426E-3</v>
      </c>
      <c r="G20" s="134">
        <f t="shared" si="5"/>
        <v>0.11410734972748934</v>
      </c>
      <c r="H20" s="134">
        <f t="shared" ref="H20" si="6">(H16-H36)/ABS(H36)</f>
        <v>0</v>
      </c>
      <c r="I20" s="134">
        <f t="shared" si="5"/>
        <v>5.5306047580918206E-2</v>
      </c>
      <c r="J20" s="168">
        <f t="shared" si="5"/>
        <v>-3.0461080840353534E-3</v>
      </c>
      <c r="M20" s="27"/>
    </row>
    <row r="21" spans="1:13" collapsed="1" x14ac:dyDescent="0.3">
      <c r="C21" s="89"/>
      <c r="D21" s="89"/>
      <c r="E21" s="89"/>
      <c r="F21" s="89"/>
      <c r="G21" s="89"/>
      <c r="H21" s="89"/>
      <c r="I21" s="89"/>
      <c r="M21" s="27"/>
    </row>
    <row r="22" spans="1:13" x14ac:dyDescent="0.3">
      <c r="A22" s="306" t="str">
        <f>'Andina DT'!A22:J22</f>
        <v>w43</v>
      </c>
      <c r="B22" s="306"/>
      <c r="C22" s="306"/>
      <c r="D22" s="306"/>
      <c r="E22" s="306"/>
      <c r="F22" s="306"/>
      <c r="G22" s="306"/>
      <c r="H22" s="306"/>
      <c r="I22" s="306"/>
      <c r="J22" s="306"/>
      <c r="M22" s="27"/>
    </row>
    <row r="23" spans="1:13" ht="43.2" x14ac:dyDescent="0.3">
      <c r="A23" s="5" t="s">
        <v>34</v>
      </c>
      <c r="B23" s="5" t="s">
        <v>26</v>
      </c>
      <c r="C23" s="40" t="s">
        <v>21</v>
      </c>
      <c r="D23" s="40" t="s">
        <v>22</v>
      </c>
      <c r="E23" s="40" t="s">
        <v>23</v>
      </c>
      <c r="F23" s="40" t="s">
        <v>24</v>
      </c>
      <c r="G23" s="40" t="s">
        <v>25</v>
      </c>
      <c r="H23" s="40" t="s">
        <v>60</v>
      </c>
      <c r="I23" s="5" t="s">
        <v>62</v>
      </c>
      <c r="J23" s="5" t="s">
        <v>65</v>
      </c>
      <c r="K23" s="5" t="s">
        <v>66</v>
      </c>
    </row>
    <row r="24" spans="1:13" ht="15" customHeight="1" x14ac:dyDescent="0.3">
      <c r="A24" s="6" t="s">
        <v>0</v>
      </c>
      <c r="B24" s="7">
        <v>6879630.0273000002</v>
      </c>
      <c r="C24" s="7">
        <v>-26879.225375485399</v>
      </c>
      <c r="D24" s="7">
        <v>333868.14482437202</v>
      </c>
      <c r="E24" s="7">
        <v>-164724.79377033599</v>
      </c>
      <c r="F24" s="7">
        <v>-674584.79927000403</v>
      </c>
      <c r="G24" s="7">
        <v>313643.131587287</v>
      </c>
      <c r="H24" s="7">
        <v>1</v>
      </c>
      <c r="I24" s="7">
        <v>819553.50920416997</v>
      </c>
      <c r="J24" s="7">
        <f>SUM(B24:I24)</f>
        <v>7480506.9945000038</v>
      </c>
      <c r="K24" s="123">
        <f t="shared" ref="K24:K36" si="7">J24/B24-1</f>
        <v>8.7341465284554776E-2</v>
      </c>
      <c r="M24" s="130" t="str">
        <f>"Comentarios "&amp;A22</f>
        <v>Comentarios w43</v>
      </c>
    </row>
    <row r="25" spans="1:13" x14ac:dyDescent="0.3">
      <c r="A25" s="6" t="s">
        <v>1</v>
      </c>
      <c r="B25" s="7">
        <v>9715413.1400000006</v>
      </c>
      <c r="C25" s="7">
        <v>0</v>
      </c>
      <c r="D25" s="7">
        <v>308132.40703429503</v>
      </c>
      <c r="E25" s="7">
        <v>9866.5561530171308</v>
      </c>
      <c r="F25" s="7">
        <v>-1016490.73159786</v>
      </c>
      <c r="G25" s="7">
        <v>-85900.7417387116</v>
      </c>
      <c r="H25" s="7">
        <v>1</v>
      </c>
      <c r="I25" s="7">
        <v>995860.14614927501</v>
      </c>
      <c r="J25" s="7">
        <f t="shared" ref="J25:J35" si="8">SUM(B25:I25)</f>
        <v>9926881.7760000173</v>
      </c>
      <c r="K25" s="124">
        <f t="shared" si="7"/>
        <v>2.1766304011238136E-2</v>
      </c>
      <c r="M25" s="115"/>
    </row>
    <row r="26" spans="1:13" x14ac:dyDescent="0.3">
      <c r="A26" s="6" t="s">
        <v>2</v>
      </c>
      <c r="B26" s="7">
        <v>10976716.488</v>
      </c>
      <c r="C26" s="7">
        <v>-425679.42289434897</v>
      </c>
      <c r="D26" s="7">
        <v>324761.41592910502</v>
      </c>
      <c r="E26" s="7">
        <v>-21518.3315360589</v>
      </c>
      <c r="F26" s="7">
        <v>-1133888.2932943201</v>
      </c>
      <c r="G26" s="7">
        <v>696386.82790262497</v>
      </c>
      <c r="H26" s="7">
        <v>1</v>
      </c>
      <c r="I26" s="7">
        <v>205668.99942488401</v>
      </c>
      <c r="J26" s="7">
        <f t="shared" si="8"/>
        <v>10622448.683531886</v>
      </c>
      <c r="K26" s="124">
        <f t="shared" si="7"/>
        <v>-3.2274478880401802E-2</v>
      </c>
      <c r="M26" s="115"/>
    </row>
    <row r="27" spans="1:13" x14ac:dyDescent="0.3">
      <c r="A27" s="6" t="s">
        <v>3</v>
      </c>
      <c r="B27" s="7">
        <v>8215628.2460000003</v>
      </c>
      <c r="C27" s="100">
        <v>172494.12136505501</v>
      </c>
      <c r="D27" s="7">
        <v>182368.66018360699</v>
      </c>
      <c r="E27" s="7">
        <v>-72265.434779258707</v>
      </c>
      <c r="F27" s="7">
        <v>-809136.90267302899</v>
      </c>
      <c r="G27" s="7">
        <v>73180.520274707102</v>
      </c>
      <c r="H27" s="7">
        <v>1</v>
      </c>
      <c r="I27" s="7">
        <v>-45565.848556136501</v>
      </c>
      <c r="J27" s="7">
        <f t="shared" si="8"/>
        <v>7716704.3618149459</v>
      </c>
      <c r="K27" s="124">
        <f t="shared" si="7"/>
        <v>-6.0728634408204751E-2</v>
      </c>
      <c r="M27" s="115"/>
    </row>
    <row r="28" spans="1:13" x14ac:dyDescent="0.3">
      <c r="A28" s="6" t="s">
        <v>4</v>
      </c>
      <c r="B28" s="7">
        <v>7168414.7280000001</v>
      </c>
      <c r="C28" s="100">
        <v>150582.78170370299</v>
      </c>
      <c r="D28" s="7">
        <v>66596.977273479206</v>
      </c>
      <c r="E28" s="7">
        <v>-69648.2209659129</v>
      </c>
      <c r="F28" s="7">
        <v>-679402.48888289905</v>
      </c>
      <c r="G28" s="7">
        <v>374986.49717855803</v>
      </c>
      <c r="H28" s="7">
        <v>1</v>
      </c>
      <c r="I28" s="7">
        <v>382206.70280080999</v>
      </c>
      <c r="J28" s="7">
        <f t="shared" si="8"/>
        <v>7393737.9771077391</v>
      </c>
      <c r="K28" s="124">
        <f t="shared" si="7"/>
        <v>3.1432786418958303E-2</v>
      </c>
      <c r="M28" s="115"/>
    </row>
    <row r="29" spans="1:13" x14ac:dyDescent="0.3">
      <c r="A29" s="6" t="s">
        <v>5</v>
      </c>
      <c r="B29" s="7">
        <v>9525289.8110000007</v>
      </c>
      <c r="C29" s="100">
        <v>-12867.767840904</v>
      </c>
      <c r="D29" s="7">
        <v>-47982.664226894703</v>
      </c>
      <c r="E29" s="7">
        <v>-141695.491877953</v>
      </c>
      <c r="F29" s="7">
        <v>-815487.65896326106</v>
      </c>
      <c r="G29" s="7">
        <v>225954.98712264001</v>
      </c>
      <c r="H29" s="7">
        <v>1</v>
      </c>
      <c r="I29" s="7">
        <v>306892.30971645599</v>
      </c>
      <c r="J29" s="7">
        <f t="shared" si="8"/>
        <v>9040104.5249300841</v>
      </c>
      <c r="K29" s="124">
        <f t="shared" si="7"/>
        <v>-5.0936537963350403E-2</v>
      </c>
      <c r="M29" s="115"/>
    </row>
    <row r="30" spans="1:13" x14ac:dyDescent="0.3">
      <c r="A30" s="6" t="s">
        <v>6</v>
      </c>
      <c r="B30" s="7">
        <v>8403818.5130000003</v>
      </c>
      <c r="C30" s="100">
        <v>147720.73744229201</v>
      </c>
      <c r="D30" s="7">
        <v>-215686.34606021899</v>
      </c>
      <c r="E30" s="7">
        <v>-133073.990231948</v>
      </c>
      <c r="F30" s="7">
        <v>-659904.90738388803</v>
      </c>
      <c r="G30" s="7">
        <v>56309.0816050414</v>
      </c>
      <c r="H30" s="7">
        <v>1</v>
      </c>
      <c r="I30" s="7">
        <v>-681860.28591290198</v>
      </c>
      <c r="J30" s="7">
        <f t="shared" si="8"/>
        <v>6917323.8024583766</v>
      </c>
      <c r="K30" s="124">
        <f t="shared" si="7"/>
        <v>-0.17688324756682228</v>
      </c>
      <c r="M30" s="115"/>
    </row>
    <row r="31" spans="1:13" x14ac:dyDescent="0.3">
      <c r="A31" s="6" t="s">
        <v>7</v>
      </c>
      <c r="B31" s="7">
        <v>7639533.0559999999</v>
      </c>
      <c r="C31" s="7">
        <v>0</v>
      </c>
      <c r="D31" s="7">
        <v>-19354.101276910002</v>
      </c>
      <c r="E31" s="7">
        <v>-123805.123865152</v>
      </c>
      <c r="F31" s="7">
        <v>-398429.186569535</v>
      </c>
      <c r="G31" s="7">
        <v>236955.40431245501</v>
      </c>
      <c r="H31" s="7">
        <v>1</v>
      </c>
      <c r="I31" s="7">
        <v>144558.20451147301</v>
      </c>
      <c r="J31" s="7">
        <f t="shared" si="8"/>
        <v>7479459.253112331</v>
      </c>
      <c r="K31" s="124">
        <f t="shared" si="7"/>
        <v>-2.0953349074384731E-2</v>
      </c>
      <c r="M31" s="115"/>
    </row>
    <row r="32" spans="1:13" x14ac:dyDescent="0.3">
      <c r="A32" s="6" t="s">
        <v>8</v>
      </c>
      <c r="B32" s="7">
        <v>10190003.214</v>
      </c>
      <c r="C32" s="7">
        <v>174023.772485608</v>
      </c>
      <c r="D32" s="7">
        <v>-84782.170073177098</v>
      </c>
      <c r="E32" s="7">
        <v>105068.066217019</v>
      </c>
      <c r="F32" s="7">
        <v>-270491.95838988101</v>
      </c>
      <c r="G32" s="7">
        <v>87596.980842954596</v>
      </c>
      <c r="H32" s="7">
        <v>1</v>
      </c>
      <c r="I32" s="7">
        <v>-101850.055403594</v>
      </c>
      <c r="J32" s="7">
        <f t="shared" si="8"/>
        <v>10099568.84967893</v>
      </c>
      <c r="K32" s="124">
        <f t="shared" si="7"/>
        <v>-8.8748121489130583E-3</v>
      </c>
      <c r="M32" s="115"/>
    </row>
    <row r="33" spans="1:13" x14ac:dyDescent="0.3">
      <c r="A33" s="6" t="s">
        <v>9</v>
      </c>
      <c r="B33" s="7">
        <v>8908227.6129999999</v>
      </c>
      <c r="C33" s="7">
        <v>0</v>
      </c>
      <c r="D33" s="7">
        <v>-86149.927370780293</v>
      </c>
      <c r="E33" s="7">
        <v>223647.953249382</v>
      </c>
      <c r="F33" s="7">
        <v>-629118.78232591599</v>
      </c>
      <c r="G33" s="7">
        <v>367729.78749698302</v>
      </c>
      <c r="H33" s="7">
        <v>1</v>
      </c>
      <c r="I33" s="7">
        <v>-624993.67330023798</v>
      </c>
      <c r="J33" s="7">
        <f t="shared" si="8"/>
        <v>8159343.9707494285</v>
      </c>
      <c r="K33" s="124">
        <f t="shared" si="7"/>
        <v>-8.4066514101829526E-2</v>
      </c>
      <c r="M33" s="115"/>
    </row>
    <row r="34" spans="1:13" x14ac:dyDescent="0.3">
      <c r="A34" s="6" t="s">
        <v>10</v>
      </c>
      <c r="B34" s="7">
        <v>9464128.9930000007</v>
      </c>
      <c r="C34" s="7">
        <v>356109.91948795202</v>
      </c>
      <c r="D34" s="7">
        <v>91994.1856238459</v>
      </c>
      <c r="E34" s="7">
        <v>159557.859891987</v>
      </c>
      <c r="F34" s="7">
        <v>-842321.339988388</v>
      </c>
      <c r="G34" s="7">
        <v>-439830.22837378702</v>
      </c>
      <c r="H34" s="7">
        <v>1</v>
      </c>
      <c r="I34" s="7">
        <v>-172838.80381110901</v>
      </c>
      <c r="J34" s="7">
        <f t="shared" si="8"/>
        <v>8616801.5858305003</v>
      </c>
      <c r="K34" s="124">
        <f t="shared" si="7"/>
        <v>-8.9530416142490576E-2</v>
      </c>
      <c r="M34" s="115"/>
    </row>
    <row r="35" spans="1:13" x14ac:dyDescent="0.3">
      <c r="A35" s="6" t="s">
        <v>11</v>
      </c>
      <c r="B35" s="7">
        <v>17144848.445</v>
      </c>
      <c r="C35" s="7">
        <v>-293333.21150146</v>
      </c>
      <c r="D35" s="7">
        <v>39201.572222691902</v>
      </c>
      <c r="E35" s="7">
        <v>619495.23001747404</v>
      </c>
      <c r="F35" s="7">
        <v>-1377817.5479470401</v>
      </c>
      <c r="G35" s="7">
        <v>-157699.58468604699</v>
      </c>
      <c r="H35" s="7">
        <v>1</v>
      </c>
      <c r="I35" s="7">
        <v>-1692637.82720842</v>
      </c>
      <c r="J35" s="7">
        <f t="shared" si="8"/>
        <v>14282058.0758972</v>
      </c>
      <c r="K35" s="124">
        <f t="shared" si="7"/>
        <v>-0.16697670896809147</v>
      </c>
      <c r="M35" s="115"/>
    </row>
    <row r="36" spans="1:13" x14ac:dyDescent="0.3">
      <c r="A36" s="8" t="s">
        <v>27</v>
      </c>
      <c r="B36" s="9">
        <f>SUM(B24:B35)</f>
        <v>114231652.27430001</v>
      </c>
      <c r="C36" s="9">
        <f t="shared" ref="C36:J36" si="9">SUM(C24:C35)</f>
        <v>242171.70487241162</v>
      </c>
      <c r="D36" s="9">
        <f t="shared" si="9"/>
        <v>892968.15408341493</v>
      </c>
      <c r="E36" s="9">
        <f t="shared" si="9"/>
        <v>390904.27850225958</v>
      </c>
      <c r="F36" s="9">
        <f t="shared" si="9"/>
        <v>-9307074.5972860213</v>
      </c>
      <c r="G36" s="9">
        <f t="shared" si="9"/>
        <v>1749312.6635247059</v>
      </c>
      <c r="H36" s="9">
        <f t="shared" ref="H36" si="10">SUM(H24:H35)</f>
        <v>12</v>
      </c>
      <c r="I36" s="9">
        <f t="shared" si="9"/>
        <v>-465006.62238533096</v>
      </c>
      <c r="J36" s="111">
        <f t="shared" si="9"/>
        <v>107734939.85561143</v>
      </c>
      <c r="K36" s="125">
        <f t="shared" si="7"/>
        <v>-5.6873137080152514E-2</v>
      </c>
      <c r="M36" s="115"/>
    </row>
    <row r="37" spans="1:13" x14ac:dyDescent="0.3">
      <c r="M37" s="27"/>
    </row>
  </sheetData>
  <mergeCells count="10">
    <mergeCell ref="B1:J1"/>
    <mergeCell ref="A19:B19"/>
    <mergeCell ref="A22:J22"/>
    <mergeCell ref="A2:J2"/>
    <mergeCell ref="M4:M5"/>
    <mergeCell ref="M6:M7"/>
    <mergeCell ref="M8:M9"/>
    <mergeCell ref="M10:M11"/>
    <mergeCell ref="M12:M13"/>
    <mergeCell ref="A20:B20"/>
  </mergeCells>
  <hyperlinks>
    <hyperlink ref="C23" location="'Arca Support'!B25" display="Calendar" xr:uid="{00000000-0004-0000-0400-000000000000}"/>
    <hyperlink ref="D23" location="'Arca Support'!N25" display="Economy" xr:uid="{00000000-0004-0000-0400-000001000000}"/>
    <hyperlink ref="E23" location="'Arca Support'!V25" display="Affordability" xr:uid="{00000000-0004-0000-0400-000002000000}"/>
    <hyperlink ref="F23" location="'Arca Support'!AH25" display="Competitiveness" xr:uid="{00000000-0004-0000-0400-000003000000}"/>
    <hyperlink ref="G23" location="'Arca Support'!AL25" display="Weather" xr:uid="{00000000-0004-0000-0400-000004000000}"/>
    <hyperlink ref="C3" location="'Arca Support'!B8" display="Calendar" xr:uid="{00000000-0004-0000-0400-000005000000}"/>
    <hyperlink ref="D3" location="'Arca Support'!N8" display="Economy" xr:uid="{00000000-0004-0000-0400-000006000000}"/>
    <hyperlink ref="E3" location="'Arca Support'!V8" display="Affordability" xr:uid="{00000000-0004-0000-0400-000007000000}"/>
    <hyperlink ref="F3" location="'Arca Support'!AH8" display="Competitiveness" xr:uid="{00000000-0004-0000-0400-000008000000}"/>
    <hyperlink ref="G3" location="'Arca Support'!AL8" display="Weather" xr:uid="{00000000-0004-0000-0400-000009000000}"/>
    <hyperlink ref="H3" location="'Arca Support'!AP8" display="Brand" xr:uid="{00000000-0004-0000-0400-00000A000000}"/>
    <hyperlink ref="H23" location="'Arca Support'!AP25" display="Brand" xr:uid="{00000000-0004-0000-0400-00000B000000}"/>
  </hyperlinks>
  <pageMargins left="0.7" right="0.7" top="0.75" bottom="0.75" header="0.3" footer="0.3"/>
  <pageSetup paperSize="9" orientation="portrait" horizontalDpi="300" verticalDpi="300" r:id="rId1"/>
  <headerFooter>
    <oddFooter>&amp;C&amp;1#&amp;"Calibri"&amp;10&amp;K000000Classified - Confidential</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S40"/>
  <sheetViews>
    <sheetView showGridLines="0" zoomScale="70" zoomScaleNormal="70" workbookViewId="0">
      <pane xSplit="1" ySplit="5" topLeftCell="Z6" activePane="bottomRight" state="frozen"/>
      <selection pane="topRight"/>
      <selection pane="bottomLeft"/>
      <selection pane="bottomRight" activeCell="V1" sqref="V1:Y5"/>
    </sheetView>
  </sheetViews>
  <sheetFormatPr baseColWidth="10" defaultColWidth="11.5546875" defaultRowHeight="14.4" x14ac:dyDescent="0.3"/>
  <cols>
    <col min="1" max="1" width="31.109375" bestFit="1" customWidth="1"/>
    <col min="2" max="2" width="11.5546875" style="250" customWidth="1"/>
    <col min="3" max="5" width="11.5546875" style="250"/>
    <col min="16" max="16" width="13.5546875" bestFit="1" customWidth="1"/>
    <col min="42" max="45" width="11.5546875" style="250"/>
  </cols>
  <sheetData>
    <row r="1" spans="1:45" ht="32.25" customHeight="1" x14ac:dyDescent="0.3">
      <c r="B1" s="315" t="s">
        <v>69</v>
      </c>
      <c r="C1" s="315"/>
      <c r="D1" s="315"/>
      <c r="E1" s="315"/>
      <c r="F1" s="315" t="s">
        <v>80</v>
      </c>
      <c r="G1" s="315"/>
      <c r="H1" s="315"/>
      <c r="I1" s="315"/>
      <c r="J1" s="318" t="s">
        <v>57</v>
      </c>
      <c r="K1" s="318"/>
      <c r="L1" s="318"/>
      <c r="M1" s="318"/>
      <c r="N1" s="315" t="s">
        <v>33</v>
      </c>
      <c r="O1" s="315"/>
      <c r="P1" s="315"/>
      <c r="Q1" s="315"/>
      <c r="R1" s="318" t="s">
        <v>37</v>
      </c>
      <c r="S1" s="318"/>
      <c r="T1" s="318"/>
      <c r="U1" s="318"/>
      <c r="V1" s="315" t="s">
        <v>114</v>
      </c>
      <c r="W1" s="315"/>
      <c r="X1" s="315"/>
      <c r="Y1" s="315"/>
      <c r="Z1" s="316" t="s">
        <v>112</v>
      </c>
      <c r="AA1" s="316"/>
      <c r="AB1" s="316"/>
      <c r="AC1" s="316"/>
      <c r="AD1" s="316" t="s">
        <v>70</v>
      </c>
      <c r="AE1" s="316"/>
      <c r="AF1" s="316"/>
      <c r="AG1" s="316"/>
      <c r="AH1" s="315" t="s">
        <v>76</v>
      </c>
      <c r="AI1" s="315"/>
      <c r="AJ1" s="315"/>
      <c r="AK1" s="315"/>
      <c r="AL1" s="315" t="s">
        <v>39</v>
      </c>
      <c r="AM1" s="315"/>
      <c r="AN1" s="315"/>
      <c r="AO1" s="315"/>
      <c r="AP1" s="315" t="s">
        <v>72</v>
      </c>
      <c r="AQ1" s="315"/>
      <c r="AR1" s="315"/>
      <c r="AS1" s="315"/>
    </row>
    <row r="2" spans="1:45" x14ac:dyDescent="0.3">
      <c r="A2" s="38" t="s">
        <v>29</v>
      </c>
      <c r="B2" s="315"/>
      <c r="C2" s="315"/>
      <c r="D2" s="315"/>
      <c r="E2" s="315"/>
      <c r="F2" s="315"/>
      <c r="G2" s="315"/>
      <c r="H2" s="315"/>
      <c r="I2" s="315"/>
      <c r="J2" s="318"/>
      <c r="K2" s="318"/>
      <c r="L2" s="318"/>
      <c r="M2" s="318"/>
      <c r="N2" s="315"/>
      <c r="O2" s="315"/>
      <c r="P2" s="315"/>
      <c r="Q2" s="315"/>
      <c r="R2" s="318"/>
      <c r="S2" s="318"/>
      <c r="T2" s="318"/>
      <c r="U2" s="318"/>
      <c r="V2" s="315"/>
      <c r="W2" s="315"/>
      <c r="X2" s="315"/>
      <c r="Y2" s="315"/>
      <c r="Z2" s="316"/>
      <c r="AA2" s="316"/>
      <c r="AB2" s="316"/>
      <c r="AC2" s="316"/>
      <c r="AD2" s="316"/>
      <c r="AE2" s="316"/>
      <c r="AF2" s="316"/>
      <c r="AG2" s="316"/>
      <c r="AH2" s="315"/>
      <c r="AI2" s="315"/>
      <c r="AJ2" s="315"/>
      <c r="AK2" s="315"/>
      <c r="AL2" s="315"/>
      <c r="AM2" s="315"/>
      <c r="AN2" s="315"/>
      <c r="AO2" s="315"/>
      <c r="AP2" s="315"/>
      <c r="AQ2" s="315"/>
      <c r="AR2" s="315"/>
      <c r="AS2" s="315"/>
    </row>
    <row r="3" spans="1:45" x14ac:dyDescent="0.3">
      <c r="A3" s="32" t="s">
        <v>30</v>
      </c>
      <c r="B3" s="315"/>
      <c r="C3" s="315"/>
      <c r="D3" s="315"/>
      <c r="E3" s="315"/>
      <c r="F3" s="315"/>
      <c r="G3" s="315"/>
      <c r="H3" s="315"/>
      <c r="I3" s="315"/>
      <c r="J3" s="318"/>
      <c r="K3" s="318"/>
      <c r="L3" s="318"/>
      <c r="M3" s="318"/>
      <c r="N3" s="315"/>
      <c r="O3" s="315"/>
      <c r="P3" s="315"/>
      <c r="Q3" s="315"/>
      <c r="R3" s="318"/>
      <c r="S3" s="318"/>
      <c r="T3" s="318"/>
      <c r="U3" s="318"/>
      <c r="V3" s="315"/>
      <c r="W3" s="315"/>
      <c r="X3" s="315"/>
      <c r="Y3" s="315"/>
      <c r="Z3" s="316"/>
      <c r="AA3" s="316"/>
      <c r="AB3" s="316"/>
      <c r="AC3" s="316"/>
      <c r="AD3" s="316"/>
      <c r="AE3" s="316"/>
      <c r="AF3" s="316"/>
      <c r="AG3" s="316"/>
      <c r="AH3" s="315"/>
      <c r="AI3" s="315"/>
      <c r="AJ3" s="315"/>
      <c r="AK3" s="315"/>
      <c r="AL3" s="315"/>
      <c r="AM3" s="315"/>
      <c r="AN3" s="315"/>
      <c r="AO3" s="315"/>
      <c r="AP3" s="315"/>
      <c r="AQ3" s="315"/>
      <c r="AR3" s="315"/>
      <c r="AS3" s="315"/>
    </row>
    <row r="4" spans="1:45" ht="14.25" customHeight="1" x14ac:dyDescent="0.3">
      <c r="A4" s="85" t="s">
        <v>42</v>
      </c>
      <c r="B4" s="315"/>
      <c r="C4" s="315"/>
      <c r="D4" s="315"/>
      <c r="E4" s="315"/>
      <c r="F4" s="315"/>
      <c r="G4" s="315"/>
      <c r="H4" s="315"/>
      <c r="I4" s="315"/>
      <c r="J4" s="318"/>
      <c r="K4" s="318"/>
      <c r="L4" s="318"/>
      <c r="M4" s="318"/>
      <c r="N4" s="315"/>
      <c r="O4" s="315"/>
      <c r="P4" s="315"/>
      <c r="Q4" s="315"/>
      <c r="R4" s="318"/>
      <c r="S4" s="318"/>
      <c r="T4" s="318"/>
      <c r="U4" s="318"/>
      <c r="V4" s="315"/>
      <c r="W4" s="315"/>
      <c r="X4" s="315"/>
      <c r="Y4" s="315"/>
      <c r="Z4" s="316"/>
      <c r="AA4" s="316"/>
      <c r="AB4" s="316"/>
      <c r="AC4" s="316"/>
      <c r="AD4" s="316"/>
      <c r="AE4" s="316"/>
      <c r="AF4" s="316"/>
      <c r="AG4" s="316"/>
      <c r="AH4" s="315"/>
      <c r="AI4" s="315"/>
      <c r="AJ4" s="315"/>
      <c r="AK4" s="315"/>
      <c r="AL4" s="315"/>
      <c r="AM4" s="315"/>
      <c r="AN4" s="315"/>
      <c r="AO4" s="315"/>
      <c r="AP4" s="315"/>
      <c r="AQ4" s="315"/>
      <c r="AR4" s="315"/>
      <c r="AS4" s="315"/>
    </row>
    <row r="5" spans="1:45" s="3" customFormat="1" ht="14.25" customHeight="1" x14ac:dyDescent="0.3">
      <c r="A5" s="82" t="s">
        <v>56</v>
      </c>
      <c r="B5" s="315"/>
      <c r="C5" s="315"/>
      <c r="D5" s="315"/>
      <c r="E5" s="315"/>
      <c r="F5" s="315"/>
      <c r="G5" s="315"/>
      <c r="H5" s="315"/>
      <c r="I5" s="315"/>
      <c r="J5" s="318"/>
      <c r="K5" s="318"/>
      <c r="L5" s="318"/>
      <c r="M5" s="318"/>
      <c r="N5" s="315"/>
      <c r="O5" s="315"/>
      <c r="P5" s="315"/>
      <c r="Q5" s="315"/>
      <c r="R5" s="318"/>
      <c r="S5" s="318"/>
      <c r="T5" s="318"/>
      <c r="U5" s="318"/>
      <c r="V5" s="315"/>
      <c r="W5" s="315"/>
      <c r="X5" s="315"/>
      <c r="Y5" s="315"/>
      <c r="Z5" s="316"/>
      <c r="AA5" s="316"/>
      <c r="AB5" s="316"/>
      <c r="AC5" s="316"/>
      <c r="AD5" s="316"/>
      <c r="AE5" s="316"/>
      <c r="AF5" s="316"/>
      <c r="AG5" s="316"/>
      <c r="AH5" s="315"/>
      <c r="AI5" s="315"/>
      <c r="AJ5" s="315"/>
      <c r="AK5" s="315"/>
      <c r="AL5" s="315"/>
      <c r="AM5" s="315"/>
      <c r="AN5" s="315"/>
      <c r="AO5" s="315"/>
      <c r="AP5" s="315"/>
      <c r="AQ5" s="315"/>
      <c r="AR5" s="315"/>
      <c r="AS5" s="315"/>
    </row>
    <row r="6" spans="1:45" ht="15" thickBot="1" x14ac:dyDescent="0.35">
      <c r="A6" s="39" t="str">
        <f>"Arca - "&amp;'Andina DT'!A2:J2</f>
        <v>Arca - w47</v>
      </c>
      <c r="B6" s="22"/>
      <c r="C6" s="22"/>
      <c r="D6" s="22"/>
      <c r="E6" s="33"/>
      <c r="F6" s="33"/>
      <c r="G6" s="33"/>
      <c r="J6" s="33"/>
      <c r="K6" s="33"/>
      <c r="N6" s="29"/>
      <c r="O6" s="29"/>
    </row>
    <row r="7" spans="1:45" ht="15" thickBot="1" x14ac:dyDescent="0.35">
      <c r="A7" s="30"/>
      <c r="B7" s="312" t="s">
        <v>21</v>
      </c>
      <c r="C7" s="313"/>
      <c r="D7" s="313"/>
      <c r="E7" s="313"/>
      <c r="F7" s="313"/>
      <c r="G7" s="313"/>
      <c r="H7" s="313"/>
      <c r="I7" s="313"/>
      <c r="J7" s="313"/>
      <c r="K7" s="313"/>
      <c r="L7" s="313"/>
      <c r="M7" s="314"/>
      <c r="N7" s="312" t="s">
        <v>22</v>
      </c>
      <c r="O7" s="313"/>
      <c r="P7" s="313"/>
      <c r="Q7" s="314"/>
      <c r="R7" s="312" t="s">
        <v>41</v>
      </c>
      <c r="S7" s="313"/>
      <c r="T7" s="313"/>
      <c r="U7" s="314"/>
      <c r="V7" s="312" t="s">
        <v>23</v>
      </c>
      <c r="W7" s="313"/>
      <c r="X7" s="313"/>
      <c r="Y7" s="314"/>
      <c r="Z7" s="312" t="s">
        <v>40</v>
      </c>
      <c r="AA7" s="313"/>
      <c r="AB7" s="313"/>
      <c r="AC7" s="313"/>
      <c r="AD7" s="313"/>
      <c r="AE7" s="313"/>
      <c r="AF7" s="313"/>
      <c r="AG7" s="314"/>
      <c r="AH7" s="312" t="s">
        <v>24</v>
      </c>
      <c r="AI7" s="313"/>
      <c r="AJ7" s="313"/>
      <c r="AK7" s="314"/>
      <c r="AL7" s="312" t="s">
        <v>25</v>
      </c>
      <c r="AM7" s="313"/>
      <c r="AN7" s="313"/>
      <c r="AO7" s="314"/>
      <c r="AP7" s="312" t="s">
        <v>60</v>
      </c>
      <c r="AQ7" s="313"/>
      <c r="AR7" s="313"/>
      <c r="AS7" s="314"/>
    </row>
    <row r="8" spans="1:45" ht="15" thickBot="1" x14ac:dyDescent="0.35">
      <c r="A8" s="2"/>
      <c r="B8" s="312" t="s">
        <v>68</v>
      </c>
      <c r="C8" s="313"/>
      <c r="D8" s="313"/>
      <c r="E8" s="314"/>
      <c r="F8" s="312" t="s">
        <v>81</v>
      </c>
      <c r="G8" s="313"/>
      <c r="H8" s="313"/>
      <c r="I8" s="314"/>
      <c r="J8" s="312" t="s">
        <v>57</v>
      </c>
      <c r="K8" s="313"/>
      <c r="L8" s="313"/>
      <c r="M8" s="314"/>
      <c r="N8" s="312" t="s">
        <v>14</v>
      </c>
      <c r="O8" s="313"/>
      <c r="P8" s="313"/>
      <c r="Q8" s="314"/>
      <c r="R8" s="312" t="s">
        <v>35</v>
      </c>
      <c r="S8" s="313"/>
      <c r="T8" s="313"/>
      <c r="U8" s="314"/>
      <c r="V8" s="312" t="s">
        <v>113</v>
      </c>
      <c r="W8" s="313"/>
      <c r="X8" s="313"/>
      <c r="Y8" s="314"/>
      <c r="Z8" s="312" t="s">
        <v>84</v>
      </c>
      <c r="AA8" s="313"/>
      <c r="AB8" s="313"/>
      <c r="AC8" s="314"/>
      <c r="AD8" s="312" t="s">
        <v>18</v>
      </c>
      <c r="AE8" s="313"/>
      <c r="AF8" s="313"/>
      <c r="AG8" s="314"/>
      <c r="AH8" s="312" t="s">
        <v>73</v>
      </c>
      <c r="AI8" s="313"/>
      <c r="AJ8" s="313"/>
      <c r="AK8" s="314"/>
      <c r="AL8" s="312" t="s">
        <v>16</v>
      </c>
      <c r="AM8" s="313"/>
      <c r="AN8" s="313"/>
      <c r="AO8" s="314"/>
      <c r="AP8" s="312" t="s">
        <v>71</v>
      </c>
      <c r="AQ8" s="313"/>
      <c r="AR8" s="313"/>
      <c r="AS8" s="314"/>
    </row>
    <row r="9" spans="1:45" x14ac:dyDescent="0.3">
      <c r="A9" s="1"/>
      <c r="B9" s="12">
        <v>2020</v>
      </c>
      <c r="C9" s="13">
        <v>2021</v>
      </c>
      <c r="D9" s="13" t="s">
        <v>12</v>
      </c>
      <c r="E9" s="14" t="s">
        <v>13</v>
      </c>
      <c r="F9" s="12">
        <v>2020</v>
      </c>
      <c r="G9" s="13">
        <v>2021</v>
      </c>
      <c r="H9" s="13" t="s">
        <v>12</v>
      </c>
      <c r="I9" s="14" t="s">
        <v>13</v>
      </c>
      <c r="J9" s="44">
        <v>2020</v>
      </c>
      <c r="K9" s="45">
        <v>2021</v>
      </c>
      <c r="L9" s="45" t="s">
        <v>12</v>
      </c>
      <c r="M9" s="46" t="s">
        <v>13</v>
      </c>
      <c r="N9" s="12">
        <v>2020</v>
      </c>
      <c r="O9" s="13">
        <v>2021</v>
      </c>
      <c r="P9" s="13" t="s">
        <v>12</v>
      </c>
      <c r="Q9" s="14" t="s">
        <v>13</v>
      </c>
      <c r="R9" s="44">
        <v>2020</v>
      </c>
      <c r="S9" s="45">
        <v>2021</v>
      </c>
      <c r="T9" s="45" t="s">
        <v>12</v>
      </c>
      <c r="U9" s="46" t="s">
        <v>13</v>
      </c>
      <c r="V9" s="12">
        <v>2020</v>
      </c>
      <c r="W9" s="13">
        <v>2021</v>
      </c>
      <c r="X9" s="13" t="s">
        <v>12</v>
      </c>
      <c r="Y9" s="14" t="s">
        <v>13</v>
      </c>
      <c r="Z9" s="44">
        <v>2020</v>
      </c>
      <c r="AA9" s="45">
        <v>2021</v>
      </c>
      <c r="AB9" s="45" t="s">
        <v>12</v>
      </c>
      <c r="AC9" s="46" t="s">
        <v>13</v>
      </c>
      <c r="AD9" s="44">
        <v>2020</v>
      </c>
      <c r="AE9" s="45">
        <v>2021</v>
      </c>
      <c r="AF9" s="45" t="s">
        <v>12</v>
      </c>
      <c r="AG9" s="46" t="s">
        <v>13</v>
      </c>
      <c r="AH9" s="12">
        <v>2020</v>
      </c>
      <c r="AI9" s="13">
        <v>2021</v>
      </c>
      <c r="AJ9" s="13" t="s">
        <v>12</v>
      </c>
      <c r="AK9" s="14" t="s">
        <v>13</v>
      </c>
      <c r="AL9" s="12">
        <v>2020</v>
      </c>
      <c r="AM9" s="13">
        <v>2021</v>
      </c>
      <c r="AN9" s="13" t="s">
        <v>12</v>
      </c>
      <c r="AO9" s="14" t="s">
        <v>13</v>
      </c>
      <c r="AP9" s="12">
        <v>2020</v>
      </c>
      <c r="AQ9" s="13">
        <v>2021</v>
      </c>
      <c r="AR9" s="13" t="s">
        <v>12</v>
      </c>
      <c r="AS9" s="14" t="s">
        <v>13</v>
      </c>
    </row>
    <row r="10" spans="1:45" x14ac:dyDescent="0.3">
      <c r="A10" s="1" t="s">
        <v>0</v>
      </c>
      <c r="B10" s="23">
        <v>25</v>
      </c>
      <c r="C10" s="24">
        <v>24</v>
      </c>
      <c r="D10" s="24">
        <f>C10-B10</f>
        <v>-1</v>
      </c>
      <c r="E10" s="17">
        <f>(C10-B10)/B10</f>
        <v>-0.04</v>
      </c>
      <c r="F10" s="15">
        <v>0.83035714275000005</v>
      </c>
      <c r="G10" s="16">
        <v>0.80952380925</v>
      </c>
      <c r="H10" s="16">
        <f>G10-F10</f>
        <v>-2.0833333500000051E-2</v>
      </c>
      <c r="I10" s="17">
        <f>(G10-F10)/F10</f>
        <v>-2.50896059387213E-2</v>
      </c>
      <c r="J10" s="76">
        <v>21</v>
      </c>
      <c r="K10" s="77">
        <v>20</v>
      </c>
      <c r="L10" s="77">
        <f>K10-J10</f>
        <v>-1</v>
      </c>
      <c r="M10" s="50">
        <f>(K10-J10)/J10</f>
        <v>-4.7619047619047616E-2</v>
      </c>
      <c r="N10" s="42">
        <v>33.1</v>
      </c>
      <c r="O10" s="16">
        <v>43.03</v>
      </c>
      <c r="P10" s="16">
        <f>O10-N10</f>
        <v>9.93</v>
      </c>
      <c r="Q10" s="149">
        <f>(O10-N10)/N10</f>
        <v>0.3</v>
      </c>
      <c r="R10" s="47">
        <v>2.9062409093474573E-2</v>
      </c>
      <c r="S10" s="48">
        <v>2.2528949260559816E-2</v>
      </c>
      <c r="T10" s="49">
        <f>S10-R10</f>
        <v>-6.5334598329147564E-3</v>
      </c>
      <c r="U10" s="50">
        <f>(S10-R10)/R10</f>
        <v>-0.22480792324892723</v>
      </c>
      <c r="V10" s="15">
        <v>133.658226275</v>
      </c>
      <c r="W10" s="16">
        <v>139.71060192499999</v>
      </c>
      <c r="X10" s="16">
        <f>W10-V10</f>
        <v>6.0523756499999877</v>
      </c>
      <c r="Y10" s="17">
        <f>(W10-V10)/V10</f>
        <v>4.5282477694618704E-2</v>
      </c>
      <c r="Z10" s="55">
        <v>187.63892104358399</v>
      </c>
      <c r="AA10" s="49">
        <v>283.44852190573903</v>
      </c>
      <c r="AB10" s="49">
        <f>AA10-Z10</f>
        <v>95.809600862155037</v>
      </c>
      <c r="AC10" s="50">
        <f>(AA10-Z10)/Z10</f>
        <v>0.51060622353451279</v>
      </c>
      <c r="AD10" s="55">
        <v>1.4045191564898301</v>
      </c>
      <c r="AE10" s="49">
        <v>2.12313247312039</v>
      </c>
      <c r="AF10" s="49">
        <f>AE10-AD10</f>
        <v>0.71861331663055994</v>
      </c>
      <c r="AG10" s="50">
        <f>(AE10-AD10)/AD10</f>
        <v>0.51164365634322573</v>
      </c>
      <c r="AH10" s="15">
        <v>1.329471056</v>
      </c>
      <c r="AI10" s="16">
        <v>1.4296501349999999</v>
      </c>
      <c r="AJ10" s="16">
        <f>AI10-AH10</f>
        <v>0.10017907899999989</v>
      </c>
      <c r="AK10" s="17">
        <f>(AI10-AH10)/AH10</f>
        <v>7.535258368197216E-2</v>
      </c>
      <c r="AL10" s="15">
        <v>32.105598260000001</v>
      </c>
      <c r="AM10" s="16">
        <v>34.00195712</v>
      </c>
      <c r="AN10" s="16">
        <f>AM10-AL10</f>
        <v>1.8963588599999994</v>
      </c>
      <c r="AO10" s="17">
        <f>(AM10-AL10)/AL10</f>
        <v>5.9066298800687707E-2</v>
      </c>
      <c r="AP10" s="15">
        <v>32.105598260000001</v>
      </c>
      <c r="AQ10" s="16">
        <v>34.00195712</v>
      </c>
      <c r="AR10" s="16">
        <f>AQ10-AP10</f>
        <v>1.8963588599999994</v>
      </c>
      <c r="AS10" s="17">
        <f>(AQ10-AP10)/AP10</f>
        <v>5.9066298800687707E-2</v>
      </c>
    </row>
    <row r="11" spans="1:45" x14ac:dyDescent="0.3">
      <c r="A11" s="1" t="s">
        <v>1</v>
      </c>
      <c r="B11" s="23">
        <v>28</v>
      </c>
      <c r="C11" s="24">
        <v>28</v>
      </c>
      <c r="D11" s="24">
        <f t="shared" ref="D11:D22" si="0">C11-B11</f>
        <v>0</v>
      </c>
      <c r="E11" s="17">
        <f t="shared" ref="E11:E22" si="1">(C11-B11)/B11</f>
        <v>0</v>
      </c>
      <c r="F11" s="15">
        <v>0.85714285700000004</v>
      </c>
      <c r="G11" s="16">
        <v>0.85714285700000004</v>
      </c>
      <c r="H11" s="16">
        <f t="shared" ref="H11:H22" si="2">G11-F11</f>
        <v>0</v>
      </c>
      <c r="I11" s="17">
        <f t="shared" ref="I11:I22" si="3">(G11-F11)/F11</f>
        <v>0</v>
      </c>
      <c r="J11" s="76">
        <v>24</v>
      </c>
      <c r="K11" s="77">
        <v>24</v>
      </c>
      <c r="L11" s="77">
        <f t="shared" ref="L11:L22" si="4">K11-J11</f>
        <v>0</v>
      </c>
      <c r="M11" s="50">
        <f t="shared" ref="M11:M22" si="5">(K11-J11)/J11</f>
        <v>0</v>
      </c>
      <c r="N11" s="42">
        <v>36.04</v>
      </c>
      <c r="O11" s="16">
        <v>42.73</v>
      </c>
      <c r="P11" s="16">
        <f t="shared" ref="P11:P22" si="6">O11-N11</f>
        <v>6.6899999999999977</v>
      </c>
      <c r="Q11" s="149">
        <f t="shared" ref="Q11:Q22" si="7">(O11-N11)/N11</f>
        <v>0.18562708102108763</v>
      </c>
      <c r="R11" s="47">
        <v>3.7656221899571962E-2</v>
      </c>
      <c r="S11" s="48">
        <v>2.0136293736429556E-2</v>
      </c>
      <c r="T11" s="49">
        <f t="shared" ref="T11:T22" si="8">S11-R11</f>
        <v>-1.7519928163142406E-2</v>
      </c>
      <c r="U11" s="50">
        <f t="shared" ref="U11:U22" si="9">(S11-R11)/R11</f>
        <v>-0.46525985028098515</v>
      </c>
      <c r="V11" s="15">
        <v>133.718122325</v>
      </c>
      <c r="W11" s="16">
        <v>133.47447545</v>
      </c>
      <c r="X11" s="16">
        <f t="shared" ref="X11:X22" si="10">W11-V11</f>
        <v>-0.24364687499999604</v>
      </c>
      <c r="Y11" s="17">
        <f t="shared" ref="Y11:Y22" si="11">(W11-V11)/V11</f>
        <v>-1.822093152099577E-3</v>
      </c>
      <c r="Z11" s="55">
        <v>193.40658559201401</v>
      </c>
      <c r="AA11" s="49">
        <v>296.21716582498601</v>
      </c>
      <c r="AB11" s="49">
        <f t="shared" ref="AB11:AB22" si="12">AA11-Z11</f>
        <v>102.810580232972</v>
      </c>
      <c r="AC11" s="50">
        <f t="shared" ref="AC11:AC22" si="13">(AA11-Z11)/Z11</f>
        <v>0.53157745336473783</v>
      </c>
      <c r="AD11" s="55">
        <v>1.44244117371506</v>
      </c>
      <c r="AE11" s="49">
        <v>2.2207965668839198</v>
      </c>
      <c r="AF11" s="49">
        <f t="shared" ref="AF11:AF22" si="14">AE11-AD11</f>
        <v>0.77835539316885982</v>
      </c>
      <c r="AG11" s="50">
        <f t="shared" ref="AG11:AG22" si="15">(AE11-AD11)/AD11</f>
        <v>0.53960979993671221</v>
      </c>
      <c r="AH11" s="15">
        <v>1.3427888429999999</v>
      </c>
      <c r="AI11" s="16">
        <v>1.452729385</v>
      </c>
      <c r="AJ11" s="16">
        <f t="shared" ref="AJ11:AJ22" si="16">AI11-AH11</f>
        <v>0.10994054200000014</v>
      </c>
      <c r="AK11" s="17">
        <f t="shared" ref="AK11:AK22" si="17">(AI11-AH11)/AH11</f>
        <v>8.1874780664974695E-2</v>
      </c>
      <c r="AL11" s="15">
        <v>32.942813027500002</v>
      </c>
      <c r="AM11" s="16">
        <v>32.704480107499997</v>
      </c>
      <c r="AN11" s="16">
        <f t="shared" ref="AN11:AN22" si="18">AM11-AL11</f>
        <v>-0.23833292000000483</v>
      </c>
      <c r="AO11" s="17">
        <f t="shared" ref="AO11:AO22" si="19">(AM11-AL11)/AL11</f>
        <v>-7.2347470691421917E-3</v>
      </c>
      <c r="AP11" s="15">
        <v>32.942813027500002</v>
      </c>
      <c r="AQ11" s="16">
        <v>32.704480107499997</v>
      </c>
      <c r="AR11" s="16">
        <f t="shared" ref="AR11:AR22" si="20">AQ11-AP11</f>
        <v>-0.23833292000000483</v>
      </c>
      <c r="AS11" s="17">
        <f t="shared" ref="AS11:AS22" si="21">(AQ11-AP11)/AP11</f>
        <v>-7.2347470691421917E-3</v>
      </c>
    </row>
    <row r="12" spans="1:45" x14ac:dyDescent="0.3">
      <c r="A12" s="1" t="s">
        <v>2</v>
      </c>
      <c r="B12" s="23">
        <v>35</v>
      </c>
      <c r="C12" s="24">
        <v>35</v>
      </c>
      <c r="D12" s="24">
        <f t="shared" si="0"/>
        <v>0</v>
      </c>
      <c r="E12" s="17">
        <f t="shared" si="1"/>
        <v>0</v>
      </c>
      <c r="F12" s="15">
        <v>0.79999999980000003</v>
      </c>
      <c r="G12" s="16">
        <v>0.74285714260000002</v>
      </c>
      <c r="H12" s="16">
        <f t="shared" si="2"/>
        <v>-5.7142857200000008E-2</v>
      </c>
      <c r="I12" s="17">
        <f t="shared" si="3"/>
        <v>-7.1428571517857156E-2</v>
      </c>
      <c r="J12" s="76">
        <v>28</v>
      </c>
      <c r="K12" s="77">
        <v>26</v>
      </c>
      <c r="L12" s="77">
        <f t="shared" si="4"/>
        <v>-2</v>
      </c>
      <c r="M12" s="50">
        <f t="shared" si="5"/>
        <v>-7.1428571428571425E-2</v>
      </c>
      <c r="N12" s="42">
        <v>34.79</v>
      </c>
      <c r="O12" s="16">
        <v>41.23</v>
      </c>
      <c r="P12" s="16">
        <f t="shared" si="6"/>
        <v>6.4399999999999977</v>
      </c>
      <c r="Q12" s="149">
        <f t="shared" si="7"/>
        <v>0.18511066398390336</v>
      </c>
      <c r="R12" s="47">
        <v>4.6795401882895993E-2</v>
      </c>
      <c r="S12" s="48">
        <v>3.3434686436722538E-2</v>
      </c>
      <c r="T12" s="49">
        <f t="shared" si="8"/>
        <v>-1.3360715446173455E-2</v>
      </c>
      <c r="U12" s="50">
        <f t="shared" si="9"/>
        <v>-0.28551342457979567</v>
      </c>
      <c r="V12" s="15">
        <v>133.54988662</v>
      </c>
      <c r="W12" s="16">
        <v>134.06288259999999</v>
      </c>
      <c r="X12" s="16">
        <f t="shared" si="10"/>
        <v>0.51299597999999946</v>
      </c>
      <c r="Y12" s="17">
        <f t="shared" si="11"/>
        <v>3.8412311158276557E-3</v>
      </c>
      <c r="Z12" s="55">
        <v>198.37821099263101</v>
      </c>
      <c r="AA12" s="49">
        <v>306.89</v>
      </c>
      <c r="AB12" s="49">
        <f t="shared" si="12"/>
        <v>108.51178900736898</v>
      </c>
      <c r="AC12" s="50">
        <f t="shared" si="13"/>
        <v>0.54699449331862249</v>
      </c>
      <c r="AD12" s="55">
        <v>1.4943690559688001</v>
      </c>
      <c r="AE12" s="49">
        <v>2.2718748879222499</v>
      </c>
      <c r="AF12" s="49">
        <f t="shared" si="14"/>
        <v>0.7775058319534498</v>
      </c>
      <c r="AG12" s="50">
        <f t="shared" si="15"/>
        <v>0.52029037194523042</v>
      </c>
      <c r="AH12" s="15">
        <v>1.3591021329999999</v>
      </c>
      <c r="AI12" s="16">
        <v>1.4714212659999999</v>
      </c>
      <c r="AJ12" s="16">
        <f t="shared" si="16"/>
        <v>0.11231913299999996</v>
      </c>
      <c r="AK12" s="17">
        <f t="shared" si="17"/>
        <v>8.264215784289404E-2</v>
      </c>
      <c r="AL12" s="15">
        <v>28.839879417999999</v>
      </c>
      <c r="AM12" s="16">
        <v>32.703757498000002</v>
      </c>
      <c r="AN12" s="16">
        <f t="shared" si="18"/>
        <v>3.8638780800000028</v>
      </c>
      <c r="AO12" s="17">
        <f t="shared" si="19"/>
        <v>0.13397691522900121</v>
      </c>
      <c r="AP12" s="15">
        <v>28.839879417999999</v>
      </c>
      <c r="AQ12" s="16">
        <v>32.703757498000002</v>
      </c>
      <c r="AR12" s="16">
        <f t="shared" si="20"/>
        <v>3.8638780800000028</v>
      </c>
      <c r="AS12" s="17">
        <f t="shared" si="21"/>
        <v>0.13397691522900121</v>
      </c>
    </row>
    <row r="13" spans="1:45" x14ac:dyDescent="0.3">
      <c r="A13" s="1" t="s">
        <v>3</v>
      </c>
      <c r="B13" s="23">
        <v>28</v>
      </c>
      <c r="C13" s="24">
        <v>28</v>
      </c>
      <c r="D13" s="24">
        <f t="shared" si="0"/>
        <v>0</v>
      </c>
      <c r="E13" s="17">
        <f t="shared" si="1"/>
        <v>0</v>
      </c>
      <c r="F13" s="15">
        <v>0.7857142855</v>
      </c>
      <c r="G13" s="16">
        <v>0.82142857125000002</v>
      </c>
      <c r="H13" s="16">
        <f t="shared" si="2"/>
        <v>3.5714285750000019E-2</v>
      </c>
      <c r="I13" s="17">
        <f t="shared" si="3"/>
        <v>4.5454545512396721E-2</v>
      </c>
      <c r="J13" s="76">
        <v>22</v>
      </c>
      <c r="K13" s="77">
        <v>23</v>
      </c>
      <c r="L13" s="77">
        <f t="shared" si="4"/>
        <v>1</v>
      </c>
      <c r="M13" s="50">
        <f t="shared" si="5"/>
        <v>4.5454545454545456E-2</v>
      </c>
      <c r="N13" s="42">
        <v>34.409999999999997</v>
      </c>
      <c r="O13" s="16">
        <v>39.28</v>
      </c>
      <c r="P13" s="16">
        <f t="shared" si="6"/>
        <v>4.8700000000000045</v>
      </c>
      <c r="Q13" s="149">
        <f t="shared" si="7"/>
        <v>0.14152862539959329</v>
      </c>
      <c r="R13" s="47">
        <v>3.444697949233122E-2</v>
      </c>
      <c r="S13" s="48">
        <v>1.4965725908725691E-2</v>
      </c>
      <c r="T13" s="49">
        <f t="shared" si="8"/>
        <v>-1.9481253583605529E-2</v>
      </c>
      <c r="U13" s="50">
        <f t="shared" si="9"/>
        <v>-0.56554315852112824</v>
      </c>
      <c r="V13" s="15">
        <v>132.77405759999999</v>
      </c>
      <c r="W13" s="16">
        <v>134.9966751</v>
      </c>
      <c r="X13" s="16">
        <f t="shared" si="10"/>
        <v>2.2226175000000126</v>
      </c>
      <c r="Y13" s="17">
        <f t="shared" si="11"/>
        <v>1.6739847679400986E-2</v>
      </c>
      <c r="Z13" s="55">
        <v>204.077675392229</v>
      </c>
      <c r="AA13" s="49">
        <v>305.5</v>
      </c>
      <c r="AB13" s="49">
        <f t="shared" si="12"/>
        <v>101.422324607771</v>
      </c>
      <c r="AC13" s="50">
        <f t="shared" si="13"/>
        <v>0.49697902728870963</v>
      </c>
      <c r="AD13" s="55">
        <v>1.53621138953592</v>
      </c>
      <c r="AE13" s="49">
        <v>2.2673311381464099</v>
      </c>
      <c r="AF13" s="49">
        <f t="shared" si="14"/>
        <v>0.73111974861048989</v>
      </c>
      <c r="AG13" s="50">
        <f t="shared" si="15"/>
        <v>0.47592392140209083</v>
      </c>
      <c r="AH13" s="15">
        <v>1.3790872139999999</v>
      </c>
      <c r="AI13" s="16">
        <v>1.4870356149999999</v>
      </c>
      <c r="AJ13" s="16">
        <f t="shared" si="16"/>
        <v>0.10794840100000003</v>
      </c>
      <c r="AK13" s="17">
        <f t="shared" si="17"/>
        <v>7.827525330098524E-2</v>
      </c>
      <c r="AL13" s="15">
        <v>27.678329712499998</v>
      </c>
      <c r="AM13" s="16">
        <v>27.919598897499998</v>
      </c>
      <c r="AN13" s="16">
        <f t="shared" si="18"/>
        <v>0.24126918500000016</v>
      </c>
      <c r="AO13" s="17">
        <f t="shared" si="19"/>
        <v>8.7168982921335368E-3</v>
      </c>
      <c r="AP13" s="15">
        <v>27.678329712499998</v>
      </c>
      <c r="AQ13" s="16">
        <v>27.919598897499998</v>
      </c>
      <c r="AR13" s="16">
        <f t="shared" si="20"/>
        <v>0.24126918500000016</v>
      </c>
      <c r="AS13" s="17">
        <f t="shared" si="21"/>
        <v>8.7168982921335368E-3</v>
      </c>
    </row>
    <row r="14" spans="1:45" x14ac:dyDescent="0.3">
      <c r="A14" s="1" t="s">
        <v>4</v>
      </c>
      <c r="B14" s="23">
        <v>28</v>
      </c>
      <c r="C14" s="24">
        <v>28</v>
      </c>
      <c r="D14" s="24">
        <f t="shared" si="0"/>
        <v>0</v>
      </c>
      <c r="E14" s="17">
        <f t="shared" si="1"/>
        <v>0</v>
      </c>
      <c r="F14" s="15">
        <v>0.7857142855</v>
      </c>
      <c r="G14" s="16">
        <v>0.82142857125000002</v>
      </c>
      <c r="H14" s="16">
        <f t="shared" si="2"/>
        <v>3.5714285750000019E-2</v>
      </c>
      <c r="I14" s="17">
        <f t="shared" si="3"/>
        <v>4.5454545512396721E-2</v>
      </c>
      <c r="J14" s="76">
        <v>22</v>
      </c>
      <c r="K14" s="77">
        <v>23</v>
      </c>
      <c r="L14" s="77">
        <f t="shared" si="4"/>
        <v>1</v>
      </c>
      <c r="M14" s="50">
        <f t="shared" si="5"/>
        <v>4.5454545454545456E-2</v>
      </c>
      <c r="N14" s="42">
        <v>36.47</v>
      </c>
      <c r="O14" s="16">
        <v>38.42</v>
      </c>
      <c r="P14" s="16">
        <f t="shared" si="6"/>
        <v>1.9500000000000028</v>
      </c>
      <c r="Q14" s="149">
        <f t="shared" si="7"/>
        <v>5.3468604332328022E-2</v>
      </c>
      <c r="R14" s="47">
        <v>3.0590696999836187E-2</v>
      </c>
      <c r="S14" s="48">
        <v>1.5427362512386189E-2</v>
      </c>
      <c r="T14" s="49">
        <f t="shared" si="8"/>
        <v>-1.5163334487449998E-2</v>
      </c>
      <c r="U14" s="50">
        <f t="shared" si="9"/>
        <v>-0.49568450459076485</v>
      </c>
      <c r="V14" s="15">
        <v>132.51602904999999</v>
      </c>
      <c r="W14" s="16">
        <v>134.80741785000001</v>
      </c>
      <c r="X14" s="16">
        <f t="shared" si="10"/>
        <v>2.2913888000000213</v>
      </c>
      <c r="Y14" s="17">
        <f t="shared" si="11"/>
        <v>1.7291408567151157E-2</v>
      </c>
      <c r="Z14" s="55">
        <v>210.54392142275</v>
      </c>
      <c r="AA14" s="49">
        <v>305.5</v>
      </c>
      <c r="AB14" s="49">
        <f t="shared" si="12"/>
        <v>94.956078577249997</v>
      </c>
      <c r="AC14" s="50">
        <f t="shared" si="13"/>
        <v>0.45100365726820579</v>
      </c>
      <c r="AD14" s="55">
        <v>1.60073226789643</v>
      </c>
      <c r="AE14" s="49">
        <v>2.26279647587012</v>
      </c>
      <c r="AF14" s="49">
        <f t="shared" si="14"/>
        <v>0.66206420797369003</v>
      </c>
      <c r="AG14" s="50">
        <f t="shared" si="15"/>
        <v>0.41360083834864425</v>
      </c>
      <c r="AH14" s="15">
        <v>1.38746028</v>
      </c>
      <c r="AI14" s="16">
        <v>1.4870356149999999</v>
      </c>
      <c r="AJ14" s="16">
        <f t="shared" si="16"/>
        <v>9.9575334999999932E-2</v>
      </c>
      <c r="AK14" s="17">
        <f t="shared" si="17"/>
        <v>7.1768061713449502E-2</v>
      </c>
      <c r="AL14" s="15">
        <v>23.9187163725</v>
      </c>
      <c r="AM14" s="16">
        <v>26.838660054999998</v>
      </c>
      <c r="AN14" s="16">
        <f t="shared" si="18"/>
        <v>2.9199436824999978</v>
      </c>
      <c r="AO14" s="17">
        <f t="shared" si="19"/>
        <v>0.12207777528802242</v>
      </c>
      <c r="AP14" s="15">
        <v>23.9187163725</v>
      </c>
      <c r="AQ14" s="16">
        <v>26.838660054999998</v>
      </c>
      <c r="AR14" s="16">
        <f t="shared" si="20"/>
        <v>2.9199436824999978</v>
      </c>
      <c r="AS14" s="17">
        <f t="shared" si="21"/>
        <v>0.12207777528802242</v>
      </c>
    </row>
    <row r="15" spans="1:45" x14ac:dyDescent="0.3">
      <c r="A15" s="1" t="s">
        <v>5</v>
      </c>
      <c r="B15" s="23">
        <v>35</v>
      </c>
      <c r="C15" s="24">
        <v>35</v>
      </c>
      <c r="D15" s="24">
        <f t="shared" si="0"/>
        <v>0</v>
      </c>
      <c r="E15" s="17">
        <f t="shared" si="1"/>
        <v>0</v>
      </c>
      <c r="F15" s="15">
        <v>0.77142857119999997</v>
      </c>
      <c r="G15" s="16">
        <v>0.77142857119999997</v>
      </c>
      <c r="H15" s="16">
        <f t="shared" si="2"/>
        <v>0</v>
      </c>
      <c r="I15" s="17">
        <f t="shared" si="3"/>
        <v>0</v>
      </c>
      <c r="J15" s="76">
        <v>27</v>
      </c>
      <c r="K15" s="77">
        <v>27</v>
      </c>
      <c r="L15" s="77">
        <f t="shared" si="4"/>
        <v>0</v>
      </c>
      <c r="M15" s="50">
        <f t="shared" si="5"/>
        <v>0</v>
      </c>
      <c r="N15" s="42">
        <v>40.57</v>
      </c>
      <c r="O15" s="16">
        <v>39.47</v>
      </c>
      <c r="P15" s="16">
        <f t="shared" si="6"/>
        <v>-1.1000000000000014</v>
      </c>
      <c r="Q15" s="149">
        <f t="shared" si="7"/>
        <v>-2.7113630761646572E-2</v>
      </c>
      <c r="R15" s="47">
        <v>2.7180054023995259E-2</v>
      </c>
      <c r="S15" s="48">
        <v>2.2435391591276943E-2</v>
      </c>
      <c r="T15" s="49">
        <f t="shared" si="8"/>
        <v>-4.7446624327183162E-3</v>
      </c>
      <c r="U15" s="50">
        <f t="shared" si="9"/>
        <v>-0.17456412811135713</v>
      </c>
      <c r="V15" s="15">
        <v>131.25631096000001</v>
      </c>
      <c r="W15" s="16">
        <v>134.95598269999999</v>
      </c>
      <c r="X15" s="16">
        <f t="shared" si="10"/>
        <v>3.6996717399999852</v>
      </c>
      <c r="Y15" s="17">
        <f t="shared" si="11"/>
        <v>2.8186619850434847E-2</v>
      </c>
      <c r="Z15" s="55">
        <v>214.895339477275</v>
      </c>
      <c r="AA15" s="49">
        <v>305.5</v>
      </c>
      <c r="AB15" s="49">
        <f t="shared" si="12"/>
        <v>90.604660522724998</v>
      </c>
      <c r="AC15" s="50">
        <f t="shared" si="13"/>
        <v>0.42162226851041767</v>
      </c>
      <c r="AD15" s="55">
        <v>1.6423513068617399</v>
      </c>
      <c r="AE15" s="49">
        <v>2.2650592723459901</v>
      </c>
      <c r="AF15" s="49">
        <f t="shared" si="14"/>
        <v>0.62270796548425023</v>
      </c>
      <c r="AG15" s="50">
        <f t="shared" si="15"/>
        <v>0.37915637347659897</v>
      </c>
      <c r="AH15" s="15">
        <v>1.3935971659999999</v>
      </c>
      <c r="AI15" s="16">
        <v>1.4870356149999999</v>
      </c>
      <c r="AJ15" s="16">
        <f t="shared" si="16"/>
        <v>9.3438448999999979E-2</v>
      </c>
      <c r="AK15" s="17">
        <f t="shared" si="17"/>
        <v>6.7048391945423905E-2</v>
      </c>
      <c r="AL15" s="15">
        <v>22.721436321999999</v>
      </c>
      <c r="AM15" s="16">
        <v>24.086741824000001</v>
      </c>
      <c r="AN15" s="16">
        <f t="shared" si="18"/>
        <v>1.3653055020000018</v>
      </c>
      <c r="AO15" s="17">
        <f t="shared" si="19"/>
        <v>6.0088873020674609E-2</v>
      </c>
      <c r="AP15" s="15">
        <v>22.721436321999999</v>
      </c>
      <c r="AQ15" s="16">
        <v>24.086741824000001</v>
      </c>
      <c r="AR15" s="16">
        <f t="shared" si="20"/>
        <v>1.3653055020000018</v>
      </c>
      <c r="AS15" s="17">
        <f t="shared" si="21"/>
        <v>6.0088873020674609E-2</v>
      </c>
    </row>
    <row r="16" spans="1:45" x14ac:dyDescent="0.3">
      <c r="A16" s="1" t="s">
        <v>6</v>
      </c>
      <c r="B16" s="23">
        <v>28</v>
      </c>
      <c r="C16" s="24">
        <v>28</v>
      </c>
      <c r="D16" s="24">
        <f t="shared" si="0"/>
        <v>0</v>
      </c>
      <c r="E16" s="17">
        <f t="shared" si="1"/>
        <v>0</v>
      </c>
      <c r="F16" s="15">
        <v>0.7857142855</v>
      </c>
      <c r="G16" s="16">
        <v>0.82142857125000002</v>
      </c>
      <c r="H16" s="16">
        <f t="shared" si="2"/>
        <v>3.5714285750000019E-2</v>
      </c>
      <c r="I16" s="17">
        <f t="shared" si="3"/>
        <v>4.5454545512396721E-2</v>
      </c>
      <c r="J16" s="76">
        <v>22</v>
      </c>
      <c r="K16" s="77">
        <v>23</v>
      </c>
      <c r="L16" s="77">
        <f t="shared" si="4"/>
        <v>1</v>
      </c>
      <c r="M16" s="50">
        <f t="shared" si="5"/>
        <v>4.5454545454545456E-2</v>
      </c>
      <c r="N16" s="42">
        <v>44.18</v>
      </c>
      <c r="O16" s="16">
        <v>38.18</v>
      </c>
      <c r="P16" s="16">
        <f t="shared" si="6"/>
        <v>-6</v>
      </c>
      <c r="Q16" s="149">
        <f t="shared" si="7"/>
        <v>-0.13580805794477138</v>
      </c>
      <c r="R16" s="47">
        <v>2.1978655386921009E-2</v>
      </c>
      <c r="S16" s="48">
        <v>1.9341946456512993E-2</v>
      </c>
      <c r="T16" s="49">
        <f t="shared" si="8"/>
        <v>-2.636708930408016E-3</v>
      </c>
      <c r="U16" s="50">
        <f t="shared" si="9"/>
        <v>-0.11996679887783585</v>
      </c>
      <c r="V16" s="15">
        <v>130.22262710000001</v>
      </c>
      <c r="W16" s="16">
        <v>134.4423391</v>
      </c>
      <c r="X16" s="16">
        <f t="shared" si="10"/>
        <v>4.219711999999987</v>
      </c>
      <c r="Y16" s="17">
        <f t="shared" si="11"/>
        <v>3.2403830992901131E-2</v>
      </c>
      <c r="Z16" s="55">
        <v>219.86355365737299</v>
      </c>
      <c r="AA16" s="49">
        <v>305.5</v>
      </c>
      <c r="AB16" s="49">
        <f t="shared" si="12"/>
        <v>85.636446342627011</v>
      </c>
      <c r="AC16" s="50">
        <f t="shared" si="13"/>
        <v>0.38949814518180487</v>
      </c>
      <c r="AD16" s="55">
        <v>1.7129724130568</v>
      </c>
      <c r="AE16" s="49">
        <v>2.2945050428864802</v>
      </c>
      <c r="AF16" s="49">
        <f t="shared" si="14"/>
        <v>0.58153262982968013</v>
      </c>
      <c r="AG16" s="50">
        <f t="shared" si="15"/>
        <v>0.33948744614744547</v>
      </c>
      <c r="AH16" s="15">
        <v>1.395378507</v>
      </c>
      <c r="AI16" s="16">
        <v>1.4870356149999999</v>
      </c>
      <c r="AJ16" s="16">
        <f t="shared" si="16"/>
        <v>9.1657107999999932E-2</v>
      </c>
      <c r="AK16" s="17">
        <f t="shared" si="17"/>
        <v>6.5686197358062026E-2</v>
      </c>
      <c r="AL16" s="15">
        <v>21.369605705000001</v>
      </c>
      <c r="AM16" s="16">
        <v>21.6331584275</v>
      </c>
      <c r="AN16" s="16">
        <f t="shared" si="18"/>
        <v>0.26355272249999828</v>
      </c>
      <c r="AO16" s="17">
        <f t="shared" si="19"/>
        <v>1.2333064359644827E-2</v>
      </c>
      <c r="AP16" s="15">
        <v>21.369605705000001</v>
      </c>
      <c r="AQ16" s="16">
        <v>21.6331584275</v>
      </c>
      <c r="AR16" s="16">
        <f t="shared" si="20"/>
        <v>0.26355272249999828</v>
      </c>
      <c r="AS16" s="17">
        <f t="shared" si="21"/>
        <v>1.2333064359644827E-2</v>
      </c>
    </row>
    <row r="17" spans="1:45" x14ac:dyDescent="0.3">
      <c r="A17" s="1" t="s">
        <v>7</v>
      </c>
      <c r="B17" s="23">
        <v>28</v>
      </c>
      <c r="C17" s="24">
        <v>28</v>
      </c>
      <c r="D17" s="24">
        <f t="shared" si="0"/>
        <v>0</v>
      </c>
      <c r="E17" s="17">
        <f t="shared" si="1"/>
        <v>0</v>
      </c>
      <c r="F17" s="15">
        <v>0.82142857125000002</v>
      </c>
      <c r="G17" s="16">
        <v>0.82142857125000002</v>
      </c>
      <c r="H17" s="16">
        <f t="shared" si="2"/>
        <v>0</v>
      </c>
      <c r="I17" s="17">
        <f t="shared" si="3"/>
        <v>0</v>
      </c>
      <c r="J17" s="76">
        <v>23</v>
      </c>
      <c r="K17" s="77">
        <v>23</v>
      </c>
      <c r="L17" s="77">
        <f t="shared" si="4"/>
        <v>0</v>
      </c>
      <c r="M17" s="50">
        <f t="shared" si="5"/>
        <v>0</v>
      </c>
      <c r="N17" s="42">
        <v>41.86</v>
      </c>
      <c r="O17" s="16">
        <v>41.31</v>
      </c>
      <c r="P17" s="16">
        <f t="shared" si="6"/>
        <v>-0.54999999999999716</v>
      </c>
      <c r="Q17" s="149">
        <f t="shared" si="7"/>
        <v>-1.3139034878165244E-2</v>
      </c>
      <c r="R17" s="47">
        <v>3.9539857870486861E-2</v>
      </c>
      <c r="S17" s="48">
        <v>2.7001103590661213E-2</v>
      </c>
      <c r="T17" s="49">
        <f t="shared" si="8"/>
        <v>-1.2538754279825648E-2</v>
      </c>
      <c r="U17" s="50">
        <f t="shared" si="9"/>
        <v>-0.31711682730111079</v>
      </c>
      <c r="V17" s="15">
        <v>129.48341500000001</v>
      </c>
      <c r="W17" s="16">
        <v>133.29687837500001</v>
      </c>
      <c r="X17" s="16">
        <f t="shared" si="10"/>
        <v>3.8134633749999978</v>
      </c>
      <c r="Y17" s="17">
        <f t="shared" si="11"/>
        <v>2.9451365450934373E-2</v>
      </c>
      <c r="Z17" s="55">
        <v>233.98864180804901</v>
      </c>
      <c r="AA17" s="49">
        <v>313.34636877957598</v>
      </c>
      <c r="AB17" s="49">
        <f t="shared" si="12"/>
        <v>79.357726971526972</v>
      </c>
      <c r="AC17" s="50">
        <f t="shared" si="13"/>
        <v>0.33915204754522887</v>
      </c>
      <c r="AD17" s="55">
        <v>1.7609356406223899</v>
      </c>
      <c r="AE17" s="49">
        <v>2.3426896487871001</v>
      </c>
      <c r="AF17" s="49">
        <f t="shared" si="14"/>
        <v>0.58175400816471012</v>
      </c>
      <c r="AG17" s="50">
        <f t="shared" si="15"/>
        <v>0.33036642268146349</v>
      </c>
      <c r="AH17" s="15">
        <v>1.4373486010000001</v>
      </c>
      <c r="AI17" s="16">
        <v>1.4934862170000001</v>
      </c>
      <c r="AJ17" s="16">
        <f t="shared" si="16"/>
        <v>5.6137616000000001E-2</v>
      </c>
      <c r="AK17" s="17">
        <f t="shared" si="17"/>
        <v>3.9056368066134849E-2</v>
      </c>
      <c r="AL17" s="15">
        <v>23.3455538125</v>
      </c>
      <c r="AM17" s="16">
        <v>25.266128054999999</v>
      </c>
      <c r="AN17" s="16">
        <f t="shared" si="18"/>
        <v>1.920574242499999</v>
      </c>
      <c r="AO17" s="17">
        <f t="shared" si="19"/>
        <v>8.2267238461126518E-2</v>
      </c>
      <c r="AP17" s="15">
        <v>23.3455538125</v>
      </c>
      <c r="AQ17" s="16">
        <v>25.266128054999999</v>
      </c>
      <c r="AR17" s="16">
        <f t="shared" si="20"/>
        <v>1.920574242499999</v>
      </c>
      <c r="AS17" s="17">
        <f t="shared" si="21"/>
        <v>8.2267238461126518E-2</v>
      </c>
    </row>
    <row r="18" spans="1:45" x14ac:dyDescent="0.3">
      <c r="A18" s="1" t="s">
        <v>8</v>
      </c>
      <c r="B18" s="23">
        <v>35</v>
      </c>
      <c r="C18" s="24">
        <v>35</v>
      </c>
      <c r="D18" s="24">
        <f t="shared" si="0"/>
        <v>0</v>
      </c>
      <c r="E18" s="17">
        <f t="shared" si="1"/>
        <v>0</v>
      </c>
      <c r="F18" s="15">
        <v>0.82857142839999998</v>
      </c>
      <c r="G18" s="16">
        <v>0.85714285700000004</v>
      </c>
      <c r="H18" s="16">
        <f t="shared" si="2"/>
        <v>2.8571428600000059E-2</v>
      </c>
      <c r="I18" s="17">
        <f t="shared" si="3"/>
        <v>3.448275866230685E-2</v>
      </c>
      <c r="J18" s="76">
        <v>29</v>
      </c>
      <c r="K18" s="77">
        <v>30</v>
      </c>
      <c r="L18" s="77">
        <f t="shared" si="4"/>
        <v>1</v>
      </c>
      <c r="M18" s="50">
        <f t="shared" si="5"/>
        <v>3.4482758620689655E-2</v>
      </c>
      <c r="N18" s="42">
        <v>42.09</v>
      </c>
      <c r="O18" s="16">
        <v>40.31</v>
      </c>
      <c r="P18" s="16">
        <f t="shared" si="6"/>
        <v>-1.7800000000000011</v>
      </c>
      <c r="Q18" s="149">
        <f t="shared" si="7"/>
        <v>-4.2290330244713729E-2</v>
      </c>
      <c r="R18" s="47">
        <v>5.8856622721223051E-2</v>
      </c>
      <c r="S18" s="48">
        <v>2.8355216469789557E-2</v>
      </c>
      <c r="T18" s="49">
        <f t="shared" si="8"/>
        <v>-3.0501406251433494E-2</v>
      </c>
      <c r="U18" s="50">
        <f t="shared" si="9"/>
        <v>-0.51823235587105854</v>
      </c>
      <c r="V18" s="15">
        <v>135.97224188000001</v>
      </c>
      <c r="W18" s="16">
        <v>133.49448656000001</v>
      </c>
      <c r="X18" s="16">
        <f t="shared" si="10"/>
        <v>-2.47775532</v>
      </c>
      <c r="Y18" s="17">
        <f t="shared" si="11"/>
        <v>-1.8222508401286055E-2</v>
      </c>
      <c r="Z18" s="55">
        <v>254.05089135964499</v>
      </c>
      <c r="AA18" s="49">
        <v>320.23998889272599</v>
      </c>
      <c r="AB18" s="49">
        <f t="shared" si="12"/>
        <v>66.189097533080997</v>
      </c>
      <c r="AC18" s="50">
        <f t="shared" si="13"/>
        <v>0.26053479749213304</v>
      </c>
      <c r="AD18" s="55">
        <v>1.8067199672785701</v>
      </c>
      <c r="AE18" s="49">
        <v>2.40594226930435</v>
      </c>
      <c r="AF18" s="49">
        <f t="shared" si="14"/>
        <v>0.59922230202577986</v>
      </c>
      <c r="AG18" s="50">
        <f t="shared" si="15"/>
        <v>0.33166307611487666</v>
      </c>
      <c r="AH18" s="15">
        <v>1.470671558</v>
      </c>
      <c r="AI18" s="16">
        <v>1.4990522209999999</v>
      </c>
      <c r="AJ18" s="16">
        <f t="shared" si="16"/>
        <v>2.8380662999999862E-2</v>
      </c>
      <c r="AK18" s="17">
        <f t="shared" si="17"/>
        <v>1.9297757439870108E-2</v>
      </c>
      <c r="AL18" s="15">
        <v>27.586764253999998</v>
      </c>
      <c r="AM18" s="16">
        <v>28.147734574000001</v>
      </c>
      <c r="AN18" s="16">
        <f t="shared" si="18"/>
        <v>0.56097032000000269</v>
      </c>
      <c r="AO18" s="17">
        <f t="shared" si="19"/>
        <v>2.0334763252223886E-2</v>
      </c>
      <c r="AP18" s="15">
        <v>27.586764253999998</v>
      </c>
      <c r="AQ18" s="16">
        <v>28.147734574000001</v>
      </c>
      <c r="AR18" s="16">
        <f t="shared" si="20"/>
        <v>0.56097032000000269</v>
      </c>
      <c r="AS18" s="17">
        <f t="shared" si="21"/>
        <v>2.0334763252223886E-2</v>
      </c>
    </row>
    <row r="19" spans="1:45" x14ac:dyDescent="0.3">
      <c r="A19" s="1" t="s">
        <v>9</v>
      </c>
      <c r="B19" s="23">
        <v>28</v>
      </c>
      <c r="C19" s="24">
        <v>28</v>
      </c>
      <c r="D19" s="24">
        <f t="shared" si="0"/>
        <v>0</v>
      </c>
      <c r="E19" s="17">
        <f t="shared" si="1"/>
        <v>0</v>
      </c>
      <c r="F19" s="15">
        <v>0.82142857125000002</v>
      </c>
      <c r="G19" s="16">
        <v>0.82142857125000002</v>
      </c>
      <c r="H19" s="16">
        <f t="shared" si="2"/>
        <v>0</v>
      </c>
      <c r="I19" s="17">
        <f t="shared" si="3"/>
        <v>0</v>
      </c>
      <c r="J19" s="76">
        <v>23</v>
      </c>
      <c r="K19" s="77">
        <v>23</v>
      </c>
      <c r="L19" s="77">
        <f t="shared" si="4"/>
        <v>0</v>
      </c>
      <c r="M19" s="50">
        <f t="shared" si="5"/>
        <v>0</v>
      </c>
      <c r="N19" s="42">
        <v>43.77</v>
      </c>
      <c r="O19" s="16">
        <v>38.83</v>
      </c>
      <c r="P19" s="16">
        <f t="shared" si="6"/>
        <v>-4.9400000000000048</v>
      </c>
      <c r="Q19" s="149">
        <f t="shared" si="7"/>
        <v>-0.11286269134110131</v>
      </c>
      <c r="R19" s="47">
        <v>3.2934820909841234E-2</v>
      </c>
      <c r="S19" s="48">
        <v>3.2000000000000001E-2</v>
      </c>
      <c r="T19" s="49">
        <f t="shared" si="8"/>
        <v>-9.3482090984123301E-4</v>
      </c>
      <c r="U19" s="50">
        <f t="shared" si="9"/>
        <v>-2.8383968214076419E-2</v>
      </c>
      <c r="V19" s="15">
        <v>139.93010087499999</v>
      </c>
      <c r="W19" s="16">
        <v>133.39424965000001</v>
      </c>
      <c r="X19" s="16">
        <f t="shared" si="10"/>
        <v>-6.5358512249999876</v>
      </c>
      <c r="Y19" s="17">
        <f t="shared" si="11"/>
        <v>-4.6707971938350024E-2</v>
      </c>
      <c r="Z19" s="55">
        <v>258.57135858402398</v>
      </c>
      <c r="AA19" s="49">
        <v>333.04958844843497</v>
      </c>
      <c r="AB19" s="49">
        <f t="shared" si="12"/>
        <v>74.478229864410991</v>
      </c>
      <c r="AC19" s="50">
        <f t="shared" si="13"/>
        <v>0.28803743102973617</v>
      </c>
      <c r="AD19" s="55">
        <v>1.87537532603515</v>
      </c>
      <c r="AE19" s="49">
        <v>2.4805264796527902</v>
      </c>
      <c r="AF19" s="49">
        <f t="shared" si="14"/>
        <v>0.60515115361764016</v>
      </c>
      <c r="AG19" s="50">
        <f t="shared" si="15"/>
        <v>0.32268268928173893</v>
      </c>
      <c r="AH19" s="15">
        <v>1.4302726160000001</v>
      </c>
      <c r="AI19" s="16">
        <v>1.509063491</v>
      </c>
      <c r="AJ19" s="16">
        <f t="shared" si="16"/>
        <v>7.8790874999999927E-2</v>
      </c>
      <c r="AK19" s="17">
        <f t="shared" si="17"/>
        <v>5.5088011976592244E-2</v>
      </c>
      <c r="AL19" s="15">
        <v>29.539996030000001</v>
      </c>
      <c r="AM19" s="16">
        <v>33.028262714999997</v>
      </c>
      <c r="AN19" s="16">
        <f t="shared" si="18"/>
        <v>3.4882666849999957</v>
      </c>
      <c r="AO19" s="17">
        <f t="shared" si="19"/>
        <v>0.11808622727834522</v>
      </c>
      <c r="AP19" s="15">
        <v>29.539996030000001</v>
      </c>
      <c r="AQ19" s="16">
        <v>33.028262714999997</v>
      </c>
      <c r="AR19" s="16">
        <f t="shared" si="20"/>
        <v>3.4882666849999957</v>
      </c>
      <c r="AS19" s="17">
        <f t="shared" si="21"/>
        <v>0.11808622727834522</v>
      </c>
    </row>
    <row r="20" spans="1:45" x14ac:dyDescent="0.3">
      <c r="A20" s="1" t="s">
        <v>10</v>
      </c>
      <c r="B20" s="23">
        <v>28</v>
      </c>
      <c r="C20" s="24">
        <v>28</v>
      </c>
      <c r="D20" s="24">
        <f t="shared" si="0"/>
        <v>0</v>
      </c>
      <c r="E20" s="17">
        <f t="shared" si="1"/>
        <v>0</v>
      </c>
      <c r="F20" s="15">
        <v>0.7857142855</v>
      </c>
      <c r="G20" s="16">
        <v>0.85714285700000004</v>
      </c>
      <c r="H20" s="16">
        <f t="shared" si="2"/>
        <v>7.1428571500000038E-2</v>
      </c>
      <c r="I20" s="17">
        <f t="shared" si="3"/>
        <v>9.0909091024793443E-2</v>
      </c>
      <c r="J20" s="76">
        <v>22</v>
      </c>
      <c r="K20" s="77">
        <v>24</v>
      </c>
      <c r="L20" s="77">
        <f t="shared" si="4"/>
        <v>2</v>
      </c>
      <c r="M20" s="50">
        <f t="shared" si="5"/>
        <v>9.0909090909090912E-2</v>
      </c>
      <c r="N20" s="42">
        <v>41.35</v>
      </c>
      <c r="O20" s="16">
        <v>39.376547780000003</v>
      </c>
      <c r="P20" s="16">
        <f t="shared" si="6"/>
        <v>-1.9734522199999986</v>
      </c>
      <c r="Q20" s="149">
        <f t="shared" si="7"/>
        <v>-4.772556759371218E-2</v>
      </c>
      <c r="R20" s="47">
        <v>4.2545373094803107E-2</v>
      </c>
      <c r="S20" s="48">
        <v>3.6217053421069997E-2</v>
      </c>
      <c r="T20" s="49">
        <f t="shared" si="8"/>
        <v>-6.3283196737331099E-3</v>
      </c>
      <c r="U20" s="50">
        <f t="shared" si="9"/>
        <v>-0.14874284119290307</v>
      </c>
      <c r="V20" s="15">
        <v>138.02570305</v>
      </c>
      <c r="W20" s="16">
        <v>133.58855317499999</v>
      </c>
      <c r="X20" s="16">
        <f t="shared" si="10"/>
        <v>-4.4371498750000171</v>
      </c>
      <c r="Y20" s="17">
        <f t="shared" si="11"/>
        <v>-3.2147272406159402E-2</v>
      </c>
      <c r="Z20" s="55">
        <v>266.957121286914</v>
      </c>
      <c r="AA20" s="49">
        <v>339.71058021740402</v>
      </c>
      <c r="AB20" s="49">
        <f t="shared" si="12"/>
        <v>72.753458930490012</v>
      </c>
      <c r="AC20" s="50">
        <f t="shared" si="13"/>
        <v>0.27252863148871664</v>
      </c>
      <c r="AD20" s="55">
        <v>1.9278858351641399</v>
      </c>
      <c r="AE20" s="49">
        <v>2.5822280653185499</v>
      </c>
      <c r="AF20" s="49">
        <f t="shared" si="14"/>
        <v>0.65434223015440995</v>
      </c>
      <c r="AG20" s="50">
        <f t="shared" si="15"/>
        <v>0.33940922134463392</v>
      </c>
      <c r="AH20" s="15">
        <v>1.4153473569999999</v>
      </c>
      <c r="AI20" s="16">
        <v>1.514184596</v>
      </c>
      <c r="AJ20" s="16">
        <f t="shared" si="16"/>
        <v>9.8837239000000077E-2</v>
      </c>
      <c r="AK20" s="17">
        <f t="shared" si="17"/>
        <v>6.9832496249894141E-2</v>
      </c>
      <c r="AL20" s="15">
        <v>34.381850912499999</v>
      </c>
      <c r="AM20" s="16">
        <v>31.322599947499999</v>
      </c>
      <c r="AN20" s="16">
        <f t="shared" si="18"/>
        <v>-3.0592509650000004</v>
      </c>
      <c r="AO20" s="17">
        <f t="shared" si="19"/>
        <v>-8.8978658327198062E-2</v>
      </c>
      <c r="AP20" s="15">
        <v>34.381850912499999</v>
      </c>
      <c r="AQ20" s="16">
        <v>31.322599947499999</v>
      </c>
      <c r="AR20" s="16">
        <f t="shared" si="20"/>
        <v>-3.0592509650000004</v>
      </c>
      <c r="AS20" s="17">
        <f t="shared" si="21"/>
        <v>-8.8978658327198062E-2</v>
      </c>
    </row>
    <row r="21" spans="1:45" ht="15" thickBot="1" x14ac:dyDescent="0.35">
      <c r="A21" s="1" t="s">
        <v>11</v>
      </c>
      <c r="B21" s="187">
        <v>39</v>
      </c>
      <c r="C21" s="188">
        <v>41</v>
      </c>
      <c r="D21" s="188">
        <f t="shared" si="0"/>
        <v>2</v>
      </c>
      <c r="E21" s="189">
        <f t="shared" si="1"/>
        <v>5.128205128205128E-2</v>
      </c>
      <c r="F21" s="190">
        <v>0.80259740239999999</v>
      </c>
      <c r="G21" s="147">
        <v>0.75384615359999996</v>
      </c>
      <c r="H21" s="147">
        <f t="shared" si="2"/>
        <v>-4.8751248800000035E-2</v>
      </c>
      <c r="I21" s="189">
        <f t="shared" si="3"/>
        <v>-6.0741847225295777E-2</v>
      </c>
      <c r="J21" s="191">
        <v>31</v>
      </c>
      <c r="K21" s="192">
        <v>31</v>
      </c>
      <c r="L21" s="192">
        <f t="shared" si="4"/>
        <v>0</v>
      </c>
      <c r="M21" s="193">
        <f t="shared" si="5"/>
        <v>0</v>
      </c>
      <c r="N21" s="214">
        <v>42.348258999999999</v>
      </c>
      <c r="O21" s="147">
        <v>38.855971879999998</v>
      </c>
      <c r="P21" s="147">
        <f t="shared" si="6"/>
        <v>-3.4922871200000003</v>
      </c>
      <c r="Q21" s="215">
        <f t="shared" si="7"/>
        <v>-8.246589594155454E-2</v>
      </c>
      <c r="R21" s="216">
        <v>3.7437073551383371E-2</v>
      </c>
      <c r="S21" s="217">
        <v>3.8083346072419998E-2</v>
      </c>
      <c r="T21" s="196">
        <f t="shared" si="8"/>
        <v>6.4627252103662686E-4</v>
      </c>
      <c r="U21" s="193">
        <f t="shared" si="9"/>
        <v>1.7262901710241876E-2</v>
      </c>
      <c r="V21" s="190">
        <v>139.79453384000001</v>
      </c>
      <c r="W21" s="147">
        <v>130.54517777999999</v>
      </c>
      <c r="X21" s="147">
        <f t="shared" si="10"/>
        <v>-9.2493560600000251</v>
      </c>
      <c r="Y21" s="189">
        <f t="shared" si="11"/>
        <v>-6.6163932207723181E-2</v>
      </c>
      <c r="Z21" s="197">
        <v>277.43408326728598</v>
      </c>
      <c r="AA21" s="196">
        <v>346.50479182175201</v>
      </c>
      <c r="AB21" s="196">
        <f t="shared" si="12"/>
        <v>69.070708554466023</v>
      </c>
      <c r="AC21" s="193">
        <f t="shared" si="13"/>
        <v>0.24896259227069015</v>
      </c>
      <c r="AD21" s="197">
        <v>1.9568041226916</v>
      </c>
      <c r="AE21" s="196">
        <v>2.68551718793129</v>
      </c>
      <c r="AF21" s="196">
        <f t="shared" si="14"/>
        <v>0.72871306523969004</v>
      </c>
      <c r="AG21" s="193">
        <f t="shared" si="15"/>
        <v>0.37239959625460073</v>
      </c>
      <c r="AH21" s="190">
        <v>1.4260074599999999</v>
      </c>
      <c r="AI21" s="147">
        <v>1.5193230790000001</v>
      </c>
      <c r="AJ21" s="147">
        <f t="shared" si="16"/>
        <v>9.3315619000000183E-2</v>
      </c>
      <c r="AK21" s="189">
        <f t="shared" si="17"/>
        <v>6.5438380665975043E-2</v>
      </c>
      <c r="AL21" s="190">
        <v>33.137649676000002</v>
      </c>
      <c r="AM21" s="147">
        <v>33.008553053999997</v>
      </c>
      <c r="AN21" s="147">
        <f t="shared" si="18"/>
        <v>-0.12909662200000582</v>
      </c>
      <c r="AO21" s="189">
        <f t="shared" si="19"/>
        <v>-3.8957688086582757E-3</v>
      </c>
      <c r="AP21" s="190">
        <v>33.137649676000002</v>
      </c>
      <c r="AQ21" s="147">
        <v>33.008553053999997</v>
      </c>
      <c r="AR21" s="147">
        <f t="shared" si="20"/>
        <v>-0.12909662200000582</v>
      </c>
      <c r="AS21" s="189">
        <f t="shared" si="21"/>
        <v>-3.8957688086582757E-3</v>
      </c>
    </row>
    <row r="22" spans="1:45" ht="15" thickBot="1" x14ac:dyDescent="0.35">
      <c r="A22" s="4" t="s">
        <v>15</v>
      </c>
      <c r="B22" s="198">
        <f>SUM(B10:B21)</f>
        <v>365</v>
      </c>
      <c r="C22" s="199">
        <f>SUM(C10:C21)</f>
        <v>366</v>
      </c>
      <c r="D22" s="199">
        <f t="shared" si="0"/>
        <v>1</v>
      </c>
      <c r="E22" s="200">
        <f t="shared" si="1"/>
        <v>2.7397260273972603E-3</v>
      </c>
      <c r="F22" s="201">
        <f>(4*SUM(F10:F11,F13:F14,F16:F17,F19:F20)+5*SUM(F12,F15,F18,F21))/52</f>
        <v>0.80588161819230786</v>
      </c>
      <c r="G22" s="202">
        <f>(4*SUM(G10:G11,G13:G14,G16:G17,G19:G20)+5*SUM(G12,G15,G18,G21))/52</f>
        <v>0.81058044500000004</v>
      </c>
      <c r="H22" s="202">
        <f t="shared" si="2"/>
        <v>4.6988268076921802E-3</v>
      </c>
      <c r="I22" s="200">
        <f t="shared" si="3"/>
        <v>5.8306663182518415E-3</v>
      </c>
      <c r="J22" s="203">
        <f>SUM(J10:J21)</f>
        <v>294</v>
      </c>
      <c r="K22" s="204">
        <f>SUM(K10:K21)</f>
        <v>297</v>
      </c>
      <c r="L22" s="204">
        <f t="shared" si="4"/>
        <v>3</v>
      </c>
      <c r="M22" s="205">
        <f t="shared" si="5"/>
        <v>1.020408163265306E-2</v>
      </c>
      <c r="N22" s="201">
        <f>(4*SUM(N10:N11,N13:N14,N16:N17,N19:N20)+5*SUM(N12,N15,N18,N21))/52</f>
        <v>39.302140288461537</v>
      </c>
      <c r="O22" s="202">
        <f>(4*SUM(O10:O11,O13:O14,O16:O17,O19:O20)+5*SUM(O12,O15,O18,O21))/52</f>
        <v>40.076077894615381</v>
      </c>
      <c r="P22" s="202">
        <f t="shared" si="6"/>
        <v>0.77393760615384366</v>
      </c>
      <c r="Q22" s="200">
        <f t="shared" si="7"/>
        <v>1.9691996427509038E-2</v>
      </c>
      <c r="R22" s="207">
        <f>PRODUCT((1+R10),(1+R11),(1+R12),(1+R13),(1+R14),(1+R15),(1+R16),(1+R17),(1+R18),(1+R19),(1+R20),(1+R21))-1</f>
        <v>0.53832402016333858</v>
      </c>
      <c r="S22" s="208">
        <f>PRODUCT((1+S10),(1+S11),(1+S12),(1+S13),(1+S14),(1+S15),(1+S16),(1+S17),(1+S18),(1+S19),(1+S20),(1+S21))-1</f>
        <v>0.35753044046208426</v>
      </c>
      <c r="T22" s="209">
        <f t="shared" si="8"/>
        <v>-0.18079357970125431</v>
      </c>
      <c r="U22" s="205">
        <f t="shared" si="9"/>
        <v>-0.33584527706268397</v>
      </c>
      <c r="V22" s="201">
        <f>(4*SUM(V10:V11,V13:V14,V16:V17,V19:V20)+5*SUM(V12,V15,V18,V21))/52</f>
        <v>134.31111522307691</v>
      </c>
      <c r="W22" s="202">
        <f>(4*SUM(W10:W11,W13:W14,W16:W17,W19:W20)+5*SUM(W12,W15,W18,W21))/52</f>
        <v>134.15648866730768</v>
      </c>
      <c r="X22" s="202">
        <f t="shared" si="10"/>
        <v>-0.15462655576922657</v>
      </c>
      <c r="Y22" s="206">
        <f t="shared" si="11"/>
        <v>-1.1512565844785654E-3</v>
      </c>
      <c r="Z22" s="210">
        <f>(4*SUM(Z10:Z11,Z13:Z14,Z16:Z17,Z19:Z20)+5*SUM(Z12,Z15,Z18,Z21))/52</f>
        <v>227.38430270446028</v>
      </c>
      <c r="AA22" s="209">
        <f>(4*SUM(AA10:AA11,AA13:AA14,AA16:AA17,AA19:AA20)+5*SUM(AA12,AA15,AA18,AA21))/52</f>
        <v>313.93774623609522</v>
      </c>
      <c r="AB22" s="209">
        <f t="shared" si="12"/>
        <v>86.55344353163494</v>
      </c>
      <c r="AC22" s="205">
        <f t="shared" si="13"/>
        <v>0.38064827915641841</v>
      </c>
      <c r="AD22" s="210">
        <f>(4*SUM(AD10:AD11,AD13:AD14,AD16:AD17,AD19:AD20)+5*SUM(AD12,AD15,AD18,AD21))/52</f>
        <v>1.6835675975782005</v>
      </c>
      <c r="AE22" s="209">
        <f>(4*SUM(AE10:AE11,AE13:AE14,AE16:AE17,AE19:AE20)+5*SUM(AE12,AE15,AE18,AE21))/52</f>
        <v>2.3545767625035086</v>
      </c>
      <c r="AF22" s="209">
        <f t="shared" si="14"/>
        <v>0.67100916492530804</v>
      </c>
      <c r="AG22" s="205">
        <f t="shared" si="15"/>
        <v>0.39856383901100839</v>
      </c>
      <c r="AH22" s="201">
        <f>(4*SUM(AH10:AH11,AH13:AH14,AH16:AH17,AH19:AH20)+5*SUM(AH12,AH15,AH18,AH21))/52</f>
        <v>1.398375182326923</v>
      </c>
      <c r="AI22" s="202">
        <f>(4*SUM(AI10:AI11,AI13:AI14,AI16:AI17,AI19:AI20)+5*SUM(AI12,AI15,AI18,AI21))/52</f>
        <v>1.4870200688653847</v>
      </c>
      <c r="AJ22" s="202">
        <f t="shared" si="16"/>
        <v>8.8644886538461698E-2</v>
      </c>
      <c r="AK22" s="200">
        <f t="shared" si="17"/>
        <v>6.3391347085375832E-2</v>
      </c>
      <c r="AL22" s="201">
        <f>(4*SUM(AL10:AL11,AL13:AL14,AL16:AL17,AL19:AL20)+5*SUM(AL12,AL15,AL18,AL21))/52</f>
        <v>28.126125070769231</v>
      </c>
      <c r="AM22" s="202">
        <f>(4*SUM(AM10:AM11,AM13:AM14,AM16:AM17,AM19:AM20)+5*SUM(AM12,AM15,AM18,AM21))/52</f>
        <v>29.24217915480769</v>
      </c>
      <c r="AN22" s="202">
        <f t="shared" si="18"/>
        <v>1.1160540840384598</v>
      </c>
      <c r="AO22" s="200">
        <f t="shared" si="19"/>
        <v>3.9680335674761917E-2</v>
      </c>
      <c r="AP22" s="201">
        <f>(4*SUM(AP10:AP11,AP13:AP14,AP16:AP17,AP19:AP20)+5*SUM(AP12,AP15,AP18,AP21))/52</f>
        <v>28.126125070769231</v>
      </c>
      <c r="AQ22" s="202">
        <f>(4*SUM(AQ10:AQ11,AQ13:AQ14,AQ16:AQ17,AQ19:AQ20)+5*SUM(AQ12,AQ15,AQ18,AQ21))/52</f>
        <v>29.24217915480769</v>
      </c>
      <c r="AR22" s="202">
        <f t="shared" si="20"/>
        <v>1.1160540840384598</v>
      </c>
      <c r="AS22" s="200">
        <f t="shared" si="21"/>
        <v>3.9680335674761917E-2</v>
      </c>
    </row>
    <row r="23" spans="1:45" ht="15" thickBot="1" x14ac:dyDescent="0.35">
      <c r="A23" s="39" t="str">
        <f>"Arca - "&amp;'Andina DT'!A22:J22</f>
        <v>Arca - w43</v>
      </c>
      <c r="B23" s="22"/>
      <c r="C23" s="22"/>
      <c r="D23" s="22"/>
      <c r="E23" s="33"/>
      <c r="F23" s="33"/>
      <c r="G23" s="33"/>
      <c r="J23" s="33"/>
      <c r="K23" s="33"/>
      <c r="N23" s="29"/>
      <c r="O23" s="29"/>
    </row>
    <row r="24" spans="1:45" ht="15" thickBot="1" x14ac:dyDescent="0.35">
      <c r="A24" s="30"/>
      <c r="B24" s="312" t="s">
        <v>21</v>
      </c>
      <c r="C24" s="313"/>
      <c r="D24" s="313"/>
      <c r="E24" s="313"/>
      <c r="F24" s="313"/>
      <c r="G24" s="313"/>
      <c r="H24" s="313"/>
      <c r="I24" s="313"/>
      <c r="J24" s="313"/>
      <c r="K24" s="313"/>
      <c r="L24" s="313"/>
      <c r="M24" s="314"/>
      <c r="N24" s="312" t="s">
        <v>22</v>
      </c>
      <c r="O24" s="313"/>
      <c r="P24" s="313"/>
      <c r="Q24" s="314"/>
      <c r="R24" s="312" t="s">
        <v>41</v>
      </c>
      <c r="S24" s="313"/>
      <c r="T24" s="313"/>
      <c r="U24" s="314"/>
      <c r="V24" s="312" t="s">
        <v>23</v>
      </c>
      <c r="W24" s="313"/>
      <c r="X24" s="313"/>
      <c r="Y24" s="314"/>
      <c r="Z24" s="312" t="s">
        <v>40</v>
      </c>
      <c r="AA24" s="313"/>
      <c r="AB24" s="313"/>
      <c r="AC24" s="313"/>
      <c r="AD24" s="313"/>
      <c r="AE24" s="313"/>
      <c r="AF24" s="313"/>
      <c r="AG24" s="314"/>
      <c r="AH24" s="312" t="s">
        <v>24</v>
      </c>
      <c r="AI24" s="313"/>
      <c r="AJ24" s="313"/>
      <c r="AK24" s="314"/>
      <c r="AL24" s="312" t="s">
        <v>25</v>
      </c>
      <c r="AM24" s="313"/>
      <c r="AN24" s="313"/>
      <c r="AO24" s="314"/>
      <c r="AP24" s="312" t="s">
        <v>60</v>
      </c>
      <c r="AQ24" s="313"/>
      <c r="AR24" s="313"/>
      <c r="AS24" s="314"/>
    </row>
    <row r="25" spans="1:45" ht="15" thickBot="1" x14ac:dyDescent="0.35">
      <c r="A25" s="2"/>
      <c r="B25" s="312" t="s">
        <v>68</v>
      </c>
      <c r="C25" s="313"/>
      <c r="D25" s="313"/>
      <c r="E25" s="314"/>
      <c r="F25" s="312" t="s">
        <v>81</v>
      </c>
      <c r="G25" s="313"/>
      <c r="H25" s="313"/>
      <c r="I25" s="314"/>
      <c r="J25" s="312" t="s">
        <v>57</v>
      </c>
      <c r="K25" s="313"/>
      <c r="L25" s="313"/>
      <c r="M25" s="314"/>
      <c r="N25" s="312" t="s">
        <v>14</v>
      </c>
      <c r="O25" s="313"/>
      <c r="P25" s="313"/>
      <c r="Q25" s="314"/>
      <c r="R25" s="312" t="s">
        <v>35</v>
      </c>
      <c r="S25" s="313"/>
      <c r="T25" s="313"/>
      <c r="U25" s="314"/>
      <c r="V25" s="312" t="s">
        <v>113</v>
      </c>
      <c r="W25" s="313"/>
      <c r="X25" s="313"/>
      <c r="Y25" s="314"/>
      <c r="Z25" s="312" t="s">
        <v>84</v>
      </c>
      <c r="AA25" s="313"/>
      <c r="AB25" s="313"/>
      <c r="AC25" s="314"/>
      <c r="AD25" s="312" t="s">
        <v>18</v>
      </c>
      <c r="AE25" s="313"/>
      <c r="AF25" s="313"/>
      <c r="AG25" s="314"/>
      <c r="AH25" s="312" t="s">
        <v>73</v>
      </c>
      <c r="AI25" s="313"/>
      <c r="AJ25" s="313"/>
      <c r="AK25" s="314"/>
      <c r="AL25" s="312" t="s">
        <v>16</v>
      </c>
      <c r="AM25" s="313"/>
      <c r="AN25" s="313"/>
      <c r="AO25" s="314"/>
      <c r="AP25" s="312" t="s">
        <v>71</v>
      </c>
      <c r="AQ25" s="313"/>
      <c r="AR25" s="313"/>
      <c r="AS25" s="314"/>
    </row>
    <row r="26" spans="1:45" x14ac:dyDescent="0.3">
      <c r="A26" s="1"/>
      <c r="B26" s="12">
        <v>2020</v>
      </c>
      <c r="C26" s="13">
        <v>2021</v>
      </c>
      <c r="D26" s="13" t="s">
        <v>12</v>
      </c>
      <c r="E26" s="14" t="s">
        <v>13</v>
      </c>
      <c r="F26" s="12">
        <v>2020</v>
      </c>
      <c r="G26" s="13">
        <v>2021</v>
      </c>
      <c r="H26" s="13" t="s">
        <v>12</v>
      </c>
      <c r="I26" s="14" t="s">
        <v>13</v>
      </c>
      <c r="J26" s="44">
        <v>2020</v>
      </c>
      <c r="K26" s="45">
        <v>2021</v>
      </c>
      <c r="L26" s="45" t="s">
        <v>12</v>
      </c>
      <c r="M26" s="46" t="s">
        <v>13</v>
      </c>
      <c r="N26" s="12">
        <v>2020</v>
      </c>
      <c r="O26" s="13">
        <v>2021</v>
      </c>
      <c r="P26" s="13" t="s">
        <v>12</v>
      </c>
      <c r="Q26" s="14" t="s">
        <v>13</v>
      </c>
      <c r="R26" s="44">
        <v>2020</v>
      </c>
      <c r="S26" s="45">
        <v>2021</v>
      </c>
      <c r="T26" s="45" t="s">
        <v>12</v>
      </c>
      <c r="U26" s="46" t="s">
        <v>13</v>
      </c>
      <c r="V26" s="12">
        <v>2020</v>
      </c>
      <c r="W26" s="13">
        <v>2021</v>
      </c>
      <c r="X26" s="13" t="s">
        <v>12</v>
      </c>
      <c r="Y26" s="14" t="s">
        <v>13</v>
      </c>
      <c r="Z26" s="44">
        <v>2020</v>
      </c>
      <c r="AA26" s="45">
        <v>2021</v>
      </c>
      <c r="AB26" s="45" t="s">
        <v>12</v>
      </c>
      <c r="AC26" s="46" t="s">
        <v>13</v>
      </c>
      <c r="AD26" s="44">
        <v>2020</v>
      </c>
      <c r="AE26" s="45">
        <v>2021</v>
      </c>
      <c r="AF26" s="45" t="s">
        <v>12</v>
      </c>
      <c r="AG26" s="46" t="s">
        <v>13</v>
      </c>
      <c r="AH26" s="12">
        <v>2020</v>
      </c>
      <c r="AI26" s="13">
        <v>2021</v>
      </c>
      <c r="AJ26" s="13" t="s">
        <v>12</v>
      </c>
      <c r="AK26" s="14" t="s">
        <v>13</v>
      </c>
      <c r="AL26" s="12">
        <v>2020</v>
      </c>
      <c r="AM26" s="13">
        <v>2021</v>
      </c>
      <c r="AN26" s="13" t="s">
        <v>12</v>
      </c>
      <c r="AO26" s="14" t="s">
        <v>13</v>
      </c>
      <c r="AP26" s="12">
        <v>2020</v>
      </c>
      <c r="AQ26" s="13">
        <v>2021</v>
      </c>
      <c r="AR26" s="13" t="s">
        <v>12</v>
      </c>
      <c r="AS26" s="14" t="s">
        <v>13</v>
      </c>
    </row>
    <row r="27" spans="1:45" x14ac:dyDescent="0.3">
      <c r="A27" s="1" t="s">
        <v>0</v>
      </c>
      <c r="B27" s="23">
        <v>25</v>
      </c>
      <c r="C27" s="24">
        <v>24</v>
      </c>
      <c r="D27" s="24">
        <f>C27-B27</f>
        <v>-1</v>
      </c>
      <c r="E27" s="17">
        <f>(C27-B27)/B27</f>
        <v>-0.04</v>
      </c>
      <c r="F27" s="15">
        <v>0.83035714275000005</v>
      </c>
      <c r="G27" s="16">
        <v>0.80952380925</v>
      </c>
      <c r="H27" s="16">
        <f>G27-F27</f>
        <v>-2.0833333500000051E-2</v>
      </c>
      <c r="I27" s="17">
        <f>(G27-F27)/F27</f>
        <v>-2.50896059387213E-2</v>
      </c>
      <c r="J27" s="76">
        <v>21</v>
      </c>
      <c r="K27" s="77">
        <v>20</v>
      </c>
      <c r="L27" s="77">
        <f>K27-J27</f>
        <v>-1</v>
      </c>
      <c r="M27" s="50">
        <f>(K27-J27)/J27</f>
        <v>-4.7619047619047616E-2</v>
      </c>
      <c r="N27" s="42">
        <v>33.1</v>
      </c>
      <c r="O27" s="16">
        <v>43.034500000000001</v>
      </c>
      <c r="P27" s="16">
        <f>O27-N27</f>
        <v>9.9344999999999999</v>
      </c>
      <c r="Q27" s="149">
        <f>(O27-N27)/N27</f>
        <v>0.30013595166163143</v>
      </c>
      <c r="R27" s="47">
        <v>2.9062409093474573E-2</v>
      </c>
      <c r="S27" s="48">
        <v>2.2528949260559816E-2</v>
      </c>
      <c r="T27" s="49">
        <f>S27-R27</f>
        <v>-6.5334598329147564E-3</v>
      </c>
      <c r="U27" s="50">
        <f>(S27-R27)/R27</f>
        <v>-0.22480792324892723</v>
      </c>
      <c r="V27" s="15">
        <v>133.658226275</v>
      </c>
      <c r="W27" s="16">
        <v>139.71060192499999</v>
      </c>
      <c r="X27" s="16">
        <f>W27-V27</f>
        <v>6.0523756499999877</v>
      </c>
      <c r="Y27" s="17">
        <f>(W27-V27)/V27</f>
        <v>4.5282477694618704E-2</v>
      </c>
      <c r="Z27" s="55">
        <v>187.63892104358399</v>
      </c>
      <c r="AA27" s="49">
        <v>283.44852190573903</v>
      </c>
      <c r="AB27" s="49">
        <f>AA27-Z27</f>
        <v>95.809600862155037</v>
      </c>
      <c r="AC27" s="50">
        <f>(AA27-Z27)/Z27</f>
        <v>0.51060622353451279</v>
      </c>
      <c r="AD27" s="55">
        <v>1.4045191564898301</v>
      </c>
      <c r="AE27" s="49">
        <v>2.12313247312039</v>
      </c>
      <c r="AF27" s="49">
        <f>AE27-AD27</f>
        <v>0.71861331663055994</v>
      </c>
      <c r="AG27" s="50">
        <f>(AE27-AD27)/AD27</f>
        <v>0.51164365634322573</v>
      </c>
      <c r="AH27" s="15">
        <v>1.329471056</v>
      </c>
      <c r="AI27" s="16">
        <v>1.4296501349999999</v>
      </c>
      <c r="AJ27" s="16">
        <f>AI27-AH27</f>
        <v>0.10017907899999989</v>
      </c>
      <c r="AK27" s="17">
        <f>(AI27-AH27)/AH27</f>
        <v>7.535258368197216E-2</v>
      </c>
      <c r="AL27" s="15">
        <v>32.105598260000001</v>
      </c>
      <c r="AM27" s="16">
        <v>34.00195712</v>
      </c>
      <c r="AN27" s="16">
        <f>AM27-AL27</f>
        <v>1.8963588599999994</v>
      </c>
      <c r="AO27" s="17">
        <f>(AM27-AL27)/AL27</f>
        <v>5.9066298800687707E-2</v>
      </c>
      <c r="AP27" s="15">
        <v>32.105598260000001</v>
      </c>
      <c r="AQ27" s="16">
        <v>34.00195712</v>
      </c>
      <c r="AR27" s="16">
        <f>AQ27-AP27</f>
        <v>1.8963588599999994</v>
      </c>
      <c r="AS27" s="17">
        <f>(AQ27-AP27)/AP27</f>
        <v>5.9066298800687707E-2</v>
      </c>
    </row>
    <row r="28" spans="1:45" x14ac:dyDescent="0.3">
      <c r="A28" s="1" t="s">
        <v>1</v>
      </c>
      <c r="B28" s="23">
        <v>28</v>
      </c>
      <c r="C28" s="24">
        <v>28</v>
      </c>
      <c r="D28" s="24">
        <f t="shared" ref="D28:D38" si="22">C28-B28</f>
        <v>0</v>
      </c>
      <c r="E28" s="17">
        <f t="shared" ref="E28:E38" si="23">(C28-B28)/B28</f>
        <v>0</v>
      </c>
      <c r="F28" s="15">
        <v>0.85714285700000004</v>
      </c>
      <c r="G28" s="16">
        <v>0.85714285700000004</v>
      </c>
      <c r="H28" s="16">
        <f t="shared" ref="H28:H38" si="24">G28-F28</f>
        <v>0</v>
      </c>
      <c r="I28" s="17">
        <f t="shared" ref="I28:I38" si="25">(G28-F28)/F28</f>
        <v>0</v>
      </c>
      <c r="J28" s="76">
        <v>24</v>
      </c>
      <c r="K28" s="77">
        <v>24</v>
      </c>
      <c r="L28" s="77">
        <f t="shared" ref="L28:L38" si="26">K28-J28</f>
        <v>0</v>
      </c>
      <c r="M28" s="50">
        <f t="shared" ref="M28:M38" si="27">(K28-J28)/J28</f>
        <v>0</v>
      </c>
      <c r="N28" s="42">
        <v>36.04</v>
      </c>
      <c r="O28" s="16">
        <v>42.734993000000003</v>
      </c>
      <c r="P28" s="16">
        <f t="shared" ref="P28:P38" si="28">O28-N28</f>
        <v>6.6949930000000037</v>
      </c>
      <c r="Q28" s="149">
        <f t="shared" ref="Q28:Q38" si="29">(O28-N28)/N28</f>
        <v>0.18576562153163162</v>
      </c>
      <c r="R28" s="47">
        <v>3.7656221899571962E-2</v>
      </c>
      <c r="S28" s="48">
        <v>2.0136293736429556E-2</v>
      </c>
      <c r="T28" s="49">
        <f t="shared" ref="T28:T38" si="30">S28-R28</f>
        <v>-1.7519928163142406E-2</v>
      </c>
      <c r="U28" s="50">
        <f t="shared" ref="U28:U38" si="31">(S28-R28)/R28</f>
        <v>-0.46525985028098515</v>
      </c>
      <c r="V28" s="15">
        <v>133.718122325</v>
      </c>
      <c r="W28" s="16">
        <v>133.47447545</v>
      </c>
      <c r="X28" s="16">
        <f t="shared" ref="X28:X38" si="32">W28-V28</f>
        <v>-0.24364687499999604</v>
      </c>
      <c r="Y28" s="17">
        <f t="shared" ref="Y28:Y38" si="33">(W28-V28)/V28</f>
        <v>-1.822093152099577E-3</v>
      </c>
      <c r="Z28" s="55">
        <v>193.40658559201401</v>
      </c>
      <c r="AA28" s="49">
        <v>296.21716582498601</v>
      </c>
      <c r="AB28" s="49">
        <f t="shared" ref="AB28:AB38" si="34">AA28-Z28</f>
        <v>102.810580232972</v>
      </c>
      <c r="AC28" s="50">
        <f t="shared" ref="AC28:AC38" si="35">(AA28-Z28)/Z28</f>
        <v>0.53157745336473783</v>
      </c>
      <c r="AD28" s="55">
        <v>1.44244117371506</v>
      </c>
      <c r="AE28" s="49">
        <v>2.2207965668839198</v>
      </c>
      <c r="AF28" s="49">
        <f t="shared" ref="AF28:AF38" si="36">AE28-AD28</f>
        <v>0.77835539316885982</v>
      </c>
      <c r="AG28" s="50">
        <f t="shared" ref="AG28:AG38" si="37">(AE28-AD28)/AD28</f>
        <v>0.53960979993671221</v>
      </c>
      <c r="AH28" s="15">
        <v>1.3427888429999999</v>
      </c>
      <c r="AI28" s="16">
        <v>1.452729385</v>
      </c>
      <c r="AJ28" s="16">
        <f t="shared" ref="AJ28:AJ38" si="38">AI28-AH28</f>
        <v>0.10994054200000014</v>
      </c>
      <c r="AK28" s="17">
        <f t="shared" ref="AK28:AK38" si="39">(AI28-AH28)/AH28</f>
        <v>8.1874780664974695E-2</v>
      </c>
      <c r="AL28" s="15">
        <v>32.942813027500002</v>
      </c>
      <c r="AM28" s="16">
        <v>32.704480107499997</v>
      </c>
      <c r="AN28" s="16">
        <f t="shared" ref="AN28:AN38" si="40">AM28-AL28</f>
        <v>-0.23833292000000483</v>
      </c>
      <c r="AO28" s="17">
        <f t="shared" ref="AO28:AO38" si="41">(AM28-AL28)/AL28</f>
        <v>-7.2347470691421917E-3</v>
      </c>
      <c r="AP28" s="15">
        <v>32.942813027500002</v>
      </c>
      <c r="AQ28" s="16">
        <v>32.704480107499997</v>
      </c>
      <c r="AR28" s="16">
        <f t="shared" ref="AR28:AR38" si="42">AQ28-AP28</f>
        <v>-0.23833292000000483</v>
      </c>
      <c r="AS28" s="17">
        <f t="shared" ref="AS28:AS38" si="43">(AQ28-AP28)/AP28</f>
        <v>-7.2347470691421917E-3</v>
      </c>
    </row>
    <row r="29" spans="1:45" x14ac:dyDescent="0.3">
      <c r="A29" s="1" t="s">
        <v>2</v>
      </c>
      <c r="B29" s="23">
        <v>35</v>
      </c>
      <c r="C29" s="24">
        <v>35</v>
      </c>
      <c r="D29" s="24">
        <f t="shared" si="22"/>
        <v>0</v>
      </c>
      <c r="E29" s="17">
        <f t="shared" si="23"/>
        <v>0</v>
      </c>
      <c r="F29" s="15">
        <v>0.79999999980000003</v>
      </c>
      <c r="G29" s="16">
        <v>0.74285714260000002</v>
      </c>
      <c r="H29" s="16">
        <f t="shared" si="24"/>
        <v>-5.7142857200000008E-2</v>
      </c>
      <c r="I29" s="17">
        <f t="shared" si="25"/>
        <v>-7.1428571517857156E-2</v>
      </c>
      <c r="J29" s="76">
        <v>28</v>
      </c>
      <c r="K29" s="77">
        <v>26</v>
      </c>
      <c r="L29" s="77">
        <f t="shared" si="26"/>
        <v>-2</v>
      </c>
      <c r="M29" s="50">
        <f t="shared" si="27"/>
        <v>-7.1428571428571425E-2</v>
      </c>
      <c r="N29" s="42">
        <v>34.79</v>
      </c>
      <c r="O29" s="16">
        <v>41.230609999999999</v>
      </c>
      <c r="P29" s="16">
        <f t="shared" si="28"/>
        <v>6.4406099999999995</v>
      </c>
      <c r="Q29" s="149">
        <f t="shared" si="29"/>
        <v>0.18512819775797643</v>
      </c>
      <c r="R29" s="47">
        <v>4.6795401882895993E-2</v>
      </c>
      <c r="S29" s="48">
        <v>3.3434686436722538E-2</v>
      </c>
      <c r="T29" s="49">
        <f t="shared" si="30"/>
        <v>-1.3360715446173455E-2</v>
      </c>
      <c r="U29" s="50">
        <f t="shared" si="31"/>
        <v>-0.28551342457979567</v>
      </c>
      <c r="V29" s="15">
        <v>133.54988662</v>
      </c>
      <c r="W29" s="16">
        <v>134.06288259999999</v>
      </c>
      <c r="X29" s="16">
        <f t="shared" si="32"/>
        <v>0.51299597999999946</v>
      </c>
      <c r="Y29" s="17">
        <f t="shared" si="33"/>
        <v>3.8412311158276557E-3</v>
      </c>
      <c r="Z29" s="55">
        <v>198.37821099263101</v>
      </c>
      <c r="AA29" s="49">
        <v>306.89</v>
      </c>
      <c r="AB29" s="49">
        <f t="shared" si="34"/>
        <v>108.51178900736898</v>
      </c>
      <c r="AC29" s="50">
        <f t="shared" si="35"/>
        <v>0.54699449331862249</v>
      </c>
      <c r="AD29" s="55">
        <v>1.4943690559688001</v>
      </c>
      <c r="AE29" s="49">
        <v>2.2718748879222499</v>
      </c>
      <c r="AF29" s="49">
        <f t="shared" si="36"/>
        <v>0.7775058319534498</v>
      </c>
      <c r="AG29" s="50">
        <f t="shared" si="37"/>
        <v>0.52029037194523042</v>
      </c>
      <c r="AH29" s="15">
        <v>1.3591021329999999</v>
      </c>
      <c r="AI29" s="16">
        <v>1.4714212659999999</v>
      </c>
      <c r="AJ29" s="16">
        <f t="shared" si="38"/>
        <v>0.11231913299999996</v>
      </c>
      <c r="AK29" s="17">
        <f t="shared" si="39"/>
        <v>8.264215784289404E-2</v>
      </c>
      <c r="AL29" s="15">
        <v>28.839879417999999</v>
      </c>
      <c r="AM29" s="16">
        <v>32.703757498000002</v>
      </c>
      <c r="AN29" s="16">
        <f t="shared" si="40"/>
        <v>3.8638780800000028</v>
      </c>
      <c r="AO29" s="17">
        <f t="shared" si="41"/>
        <v>0.13397691522900121</v>
      </c>
      <c r="AP29" s="15">
        <v>28.839879417999999</v>
      </c>
      <c r="AQ29" s="16">
        <v>32.703757498000002</v>
      </c>
      <c r="AR29" s="16">
        <f t="shared" si="42"/>
        <v>3.8638780800000028</v>
      </c>
      <c r="AS29" s="17">
        <f t="shared" si="43"/>
        <v>0.13397691522900121</v>
      </c>
    </row>
    <row r="30" spans="1:45" x14ac:dyDescent="0.3">
      <c r="A30" s="1" t="s">
        <v>3</v>
      </c>
      <c r="B30" s="23">
        <v>28</v>
      </c>
      <c r="C30" s="24">
        <v>28</v>
      </c>
      <c r="D30" s="24">
        <f t="shared" si="22"/>
        <v>0</v>
      </c>
      <c r="E30" s="17">
        <f t="shared" si="23"/>
        <v>0</v>
      </c>
      <c r="F30" s="15">
        <v>0.7857142855</v>
      </c>
      <c r="G30" s="16">
        <v>0.82142857125000002</v>
      </c>
      <c r="H30" s="16">
        <f t="shared" si="24"/>
        <v>3.5714285750000019E-2</v>
      </c>
      <c r="I30" s="17">
        <f t="shared" si="25"/>
        <v>4.5454545512396721E-2</v>
      </c>
      <c r="J30" s="76">
        <v>22</v>
      </c>
      <c r="K30" s="77">
        <v>23</v>
      </c>
      <c r="L30" s="77">
        <f t="shared" si="26"/>
        <v>1</v>
      </c>
      <c r="M30" s="50">
        <f t="shared" si="27"/>
        <v>4.5454545454545456E-2</v>
      </c>
      <c r="N30" s="42">
        <v>34.409999999999997</v>
      </c>
      <c r="O30" s="16">
        <v>39.276279000000002</v>
      </c>
      <c r="P30" s="16">
        <f t="shared" si="28"/>
        <v>4.8662790000000058</v>
      </c>
      <c r="Q30" s="149">
        <f t="shared" si="29"/>
        <v>0.14142048823016584</v>
      </c>
      <c r="R30" s="47">
        <v>3.444697949233122E-2</v>
      </c>
      <c r="S30" s="48">
        <v>1.4965725908725691E-2</v>
      </c>
      <c r="T30" s="49">
        <f t="shared" si="30"/>
        <v>-1.9481253583605529E-2</v>
      </c>
      <c r="U30" s="50">
        <f t="shared" si="31"/>
        <v>-0.56554315852112824</v>
      </c>
      <c r="V30" s="15">
        <v>132.77405759999999</v>
      </c>
      <c r="W30" s="16">
        <v>134.9966751</v>
      </c>
      <c r="X30" s="16">
        <f t="shared" si="32"/>
        <v>2.2226175000000126</v>
      </c>
      <c r="Y30" s="17">
        <f t="shared" si="33"/>
        <v>1.6739847679400986E-2</v>
      </c>
      <c r="Z30" s="55">
        <v>204.077675392229</v>
      </c>
      <c r="AA30" s="49">
        <v>305.5</v>
      </c>
      <c r="AB30" s="49">
        <f t="shared" si="34"/>
        <v>101.422324607771</v>
      </c>
      <c r="AC30" s="50">
        <f t="shared" si="35"/>
        <v>0.49697902728870963</v>
      </c>
      <c r="AD30" s="55">
        <v>1.53621138953592</v>
      </c>
      <c r="AE30" s="49">
        <v>2.2673311381464099</v>
      </c>
      <c r="AF30" s="49">
        <f t="shared" si="36"/>
        <v>0.73111974861048989</v>
      </c>
      <c r="AG30" s="50">
        <f t="shared" si="37"/>
        <v>0.47592392140209083</v>
      </c>
      <c r="AH30" s="15">
        <v>1.3790872139999999</v>
      </c>
      <c r="AI30" s="16">
        <v>1.4870356149999999</v>
      </c>
      <c r="AJ30" s="16">
        <f t="shared" si="38"/>
        <v>0.10794840100000003</v>
      </c>
      <c r="AK30" s="17">
        <f t="shared" si="39"/>
        <v>7.827525330098524E-2</v>
      </c>
      <c r="AL30" s="15">
        <v>27.678329712499998</v>
      </c>
      <c r="AM30" s="16">
        <v>27.919598897499998</v>
      </c>
      <c r="AN30" s="16">
        <f t="shared" si="40"/>
        <v>0.24126918500000016</v>
      </c>
      <c r="AO30" s="17">
        <f t="shared" si="41"/>
        <v>8.7168982921335368E-3</v>
      </c>
      <c r="AP30" s="15">
        <v>27.678329712499998</v>
      </c>
      <c r="AQ30" s="16">
        <v>27.919598897499998</v>
      </c>
      <c r="AR30" s="16">
        <f t="shared" si="42"/>
        <v>0.24126918500000016</v>
      </c>
      <c r="AS30" s="17">
        <f t="shared" si="43"/>
        <v>8.7168982921335368E-3</v>
      </c>
    </row>
    <row r="31" spans="1:45" x14ac:dyDescent="0.3">
      <c r="A31" s="1" t="s">
        <v>4</v>
      </c>
      <c r="B31" s="23">
        <v>28</v>
      </c>
      <c r="C31" s="24">
        <v>28</v>
      </c>
      <c r="D31" s="24">
        <f t="shared" si="22"/>
        <v>0</v>
      </c>
      <c r="E31" s="17">
        <f t="shared" si="23"/>
        <v>0</v>
      </c>
      <c r="F31" s="15">
        <v>0.7857142855</v>
      </c>
      <c r="G31" s="16">
        <v>0.82142857125000002</v>
      </c>
      <c r="H31" s="16">
        <f t="shared" si="24"/>
        <v>3.5714285750000019E-2</v>
      </c>
      <c r="I31" s="17">
        <f t="shared" si="25"/>
        <v>4.5454545512396721E-2</v>
      </c>
      <c r="J31" s="76">
        <v>22</v>
      </c>
      <c r="K31" s="77">
        <v>23</v>
      </c>
      <c r="L31" s="77">
        <f t="shared" si="26"/>
        <v>1</v>
      </c>
      <c r="M31" s="50">
        <f t="shared" si="27"/>
        <v>4.5454545454545456E-2</v>
      </c>
      <c r="N31" s="42">
        <v>36.47</v>
      </c>
      <c r="O31" s="16">
        <v>38.416435</v>
      </c>
      <c r="P31" s="16">
        <f t="shared" si="28"/>
        <v>1.946435000000001</v>
      </c>
      <c r="Q31" s="149">
        <f t="shared" si="29"/>
        <v>5.3370852755689639E-2</v>
      </c>
      <c r="R31" s="47">
        <v>3.0590696999836187E-2</v>
      </c>
      <c r="S31" s="48">
        <v>1.5427362512386189E-2</v>
      </c>
      <c r="T31" s="49">
        <f t="shared" si="30"/>
        <v>-1.5163334487449998E-2</v>
      </c>
      <c r="U31" s="50">
        <f t="shared" si="31"/>
        <v>-0.49568450459076485</v>
      </c>
      <c r="V31" s="15">
        <v>132.51602904999999</v>
      </c>
      <c r="W31" s="16">
        <v>134.80741785000001</v>
      </c>
      <c r="X31" s="16">
        <f t="shared" si="32"/>
        <v>2.2913888000000213</v>
      </c>
      <c r="Y31" s="17">
        <f t="shared" si="33"/>
        <v>1.7291408567151157E-2</v>
      </c>
      <c r="Z31" s="55">
        <v>210.54392142275</v>
      </c>
      <c r="AA31" s="49">
        <v>305.5</v>
      </c>
      <c r="AB31" s="49">
        <f t="shared" si="34"/>
        <v>94.956078577249997</v>
      </c>
      <c r="AC31" s="50">
        <f t="shared" si="35"/>
        <v>0.45100365726820579</v>
      </c>
      <c r="AD31" s="55">
        <v>1.60073226789643</v>
      </c>
      <c r="AE31" s="49">
        <v>2.26279647587012</v>
      </c>
      <c r="AF31" s="49">
        <f t="shared" si="36"/>
        <v>0.66206420797369003</v>
      </c>
      <c r="AG31" s="50">
        <f t="shared" si="37"/>
        <v>0.41360083834864425</v>
      </c>
      <c r="AH31" s="15">
        <v>1.38746028</v>
      </c>
      <c r="AI31" s="16">
        <v>1.4870356149999999</v>
      </c>
      <c r="AJ31" s="16">
        <f t="shared" si="38"/>
        <v>9.9575334999999932E-2</v>
      </c>
      <c r="AK31" s="17">
        <f t="shared" si="39"/>
        <v>7.1768061713449502E-2</v>
      </c>
      <c r="AL31" s="15">
        <v>23.9187163725</v>
      </c>
      <c r="AM31" s="16">
        <v>26.838660054999998</v>
      </c>
      <c r="AN31" s="16">
        <f t="shared" si="40"/>
        <v>2.9199436824999978</v>
      </c>
      <c r="AO31" s="17">
        <f t="shared" si="41"/>
        <v>0.12207777528802242</v>
      </c>
      <c r="AP31" s="15">
        <v>23.9187163725</v>
      </c>
      <c r="AQ31" s="16">
        <v>26.838660054999998</v>
      </c>
      <c r="AR31" s="16">
        <f t="shared" si="42"/>
        <v>2.9199436824999978</v>
      </c>
      <c r="AS31" s="17">
        <f t="shared" si="43"/>
        <v>0.12207777528802242</v>
      </c>
    </row>
    <row r="32" spans="1:45" x14ac:dyDescent="0.3">
      <c r="A32" s="1" t="s">
        <v>5</v>
      </c>
      <c r="B32" s="23">
        <v>35</v>
      </c>
      <c r="C32" s="24">
        <v>35</v>
      </c>
      <c r="D32" s="24">
        <f t="shared" si="22"/>
        <v>0</v>
      </c>
      <c r="E32" s="17">
        <f t="shared" si="23"/>
        <v>0</v>
      </c>
      <c r="F32" s="15">
        <v>0.77142857119999997</v>
      </c>
      <c r="G32" s="16">
        <v>0.77142857119999997</v>
      </c>
      <c r="H32" s="16">
        <f t="shared" si="24"/>
        <v>0</v>
      </c>
      <c r="I32" s="17">
        <f t="shared" si="25"/>
        <v>0</v>
      </c>
      <c r="J32" s="76">
        <v>27</v>
      </c>
      <c r="K32" s="77">
        <v>27</v>
      </c>
      <c r="L32" s="77">
        <f t="shared" si="26"/>
        <v>0</v>
      </c>
      <c r="M32" s="50">
        <f t="shared" si="27"/>
        <v>0</v>
      </c>
      <c r="N32" s="42">
        <v>40.57</v>
      </c>
      <c r="O32" s="16">
        <v>39.469208000000002</v>
      </c>
      <c r="P32" s="16">
        <f t="shared" si="28"/>
        <v>-1.1007919999999984</v>
      </c>
      <c r="Q32" s="149">
        <f t="shared" si="29"/>
        <v>-2.7133152575794885E-2</v>
      </c>
      <c r="R32" s="47">
        <v>2.7180054023995259E-2</v>
      </c>
      <c r="S32" s="48">
        <v>2.2435391591276943E-2</v>
      </c>
      <c r="T32" s="49">
        <f t="shared" si="30"/>
        <v>-4.7446624327183162E-3</v>
      </c>
      <c r="U32" s="50">
        <f t="shared" si="31"/>
        <v>-0.17456412811135713</v>
      </c>
      <c r="V32" s="15">
        <v>131.25631096000001</v>
      </c>
      <c r="W32" s="16">
        <v>134.95598269999999</v>
      </c>
      <c r="X32" s="16">
        <f t="shared" si="32"/>
        <v>3.6996717399999852</v>
      </c>
      <c r="Y32" s="17">
        <f t="shared" si="33"/>
        <v>2.8186619850434847E-2</v>
      </c>
      <c r="Z32" s="55">
        <v>214.895339477275</v>
      </c>
      <c r="AA32" s="49">
        <v>305.5</v>
      </c>
      <c r="AB32" s="49">
        <f t="shared" si="34"/>
        <v>90.604660522724998</v>
      </c>
      <c r="AC32" s="50">
        <f t="shared" si="35"/>
        <v>0.42162226851041767</v>
      </c>
      <c r="AD32" s="55">
        <v>1.6423513068617399</v>
      </c>
      <c r="AE32" s="49">
        <v>2.2650592723459901</v>
      </c>
      <c r="AF32" s="49">
        <f t="shared" si="36"/>
        <v>0.62270796548425023</v>
      </c>
      <c r="AG32" s="50">
        <f t="shared" si="37"/>
        <v>0.37915637347659897</v>
      </c>
      <c r="AH32" s="15">
        <v>1.3935971659999999</v>
      </c>
      <c r="AI32" s="16">
        <v>1.4870356149999999</v>
      </c>
      <c r="AJ32" s="16">
        <f t="shared" si="38"/>
        <v>9.3438448999999979E-2</v>
      </c>
      <c r="AK32" s="17">
        <f t="shared" si="39"/>
        <v>6.7048391945423905E-2</v>
      </c>
      <c r="AL32" s="15">
        <v>22.721436321999999</v>
      </c>
      <c r="AM32" s="16">
        <v>24.086741824000001</v>
      </c>
      <c r="AN32" s="16">
        <f t="shared" si="40"/>
        <v>1.3653055020000018</v>
      </c>
      <c r="AO32" s="17">
        <f t="shared" si="41"/>
        <v>6.0088873020674609E-2</v>
      </c>
      <c r="AP32" s="15">
        <v>22.721436321999999</v>
      </c>
      <c r="AQ32" s="16">
        <v>24.086741824000001</v>
      </c>
      <c r="AR32" s="16">
        <f t="shared" si="42"/>
        <v>1.3653055020000018</v>
      </c>
      <c r="AS32" s="17">
        <f t="shared" si="43"/>
        <v>6.0088873020674609E-2</v>
      </c>
    </row>
    <row r="33" spans="1:45" x14ac:dyDescent="0.3">
      <c r="A33" s="1" t="s">
        <v>6</v>
      </c>
      <c r="B33" s="23">
        <v>28</v>
      </c>
      <c r="C33" s="24">
        <v>28</v>
      </c>
      <c r="D33" s="24">
        <f t="shared" si="22"/>
        <v>0</v>
      </c>
      <c r="E33" s="17">
        <f t="shared" si="23"/>
        <v>0</v>
      </c>
      <c r="F33" s="15">
        <v>0.7857142855</v>
      </c>
      <c r="G33" s="16">
        <v>0.82142857125000002</v>
      </c>
      <c r="H33" s="16">
        <f t="shared" si="24"/>
        <v>3.5714285750000019E-2</v>
      </c>
      <c r="I33" s="17">
        <f t="shared" si="25"/>
        <v>4.5454545512396721E-2</v>
      </c>
      <c r="J33" s="76">
        <v>22</v>
      </c>
      <c r="K33" s="77">
        <v>23</v>
      </c>
      <c r="L33" s="77">
        <f t="shared" si="26"/>
        <v>1</v>
      </c>
      <c r="M33" s="50">
        <f t="shared" si="27"/>
        <v>4.5454545454545456E-2</v>
      </c>
      <c r="N33" s="42">
        <v>44.18</v>
      </c>
      <c r="O33" s="16">
        <v>38.183365000000002</v>
      </c>
      <c r="P33" s="16">
        <f t="shared" si="28"/>
        <v>-5.9966349999999977</v>
      </c>
      <c r="Q33" s="149">
        <f t="shared" si="29"/>
        <v>-0.13573189225894064</v>
      </c>
      <c r="R33" s="47">
        <v>2.1978655386921009E-2</v>
      </c>
      <c r="S33" s="48">
        <v>1.9341946456512993E-2</v>
      </c>
      <c r="T33" s="49">
        <f t="shared" si="30"/>
        <v>-2.636708930408016E-3</v>
      </c>
      <c r="U33" s="50">
        <f t="shared" si="31"/>
        <v>-0.11996679887783585</v>
      </c>
      <c r="V33" s="15">
        <v>130.22262710000001</v>
      </c>
      <c r="W33" s="16">
        <v>134.4423391</v>
      </c>
      <c r="X33" s="16">
        <f t="shared" si="32"/>
        <v>4.219711999999987</v>
      </c>
      <c r="Y33" s="17">
        <f t="shared" si="33"/>
        <v>3.2403830992901131E-2</v>
      </c>
      <c r="Z33" s="55">
        <v>219.86355365737299</v>
      </c>
      <c r="AA33" s="49">
        <v>305.5</v>
      </c>
      <c r="AB33" s="49">
        <f t="shared" si="34"/>
        <v>85.636446342627011</v>
      </c>
      <c r="AC33" s="50">
        <f t="shared" si="35"/>
        <v>0.38949814518180487</v>
      </c>
      <c r="AD33" s="55">
        <v>1.7129724130568</v>
      </c>
      <c r="AE33" s="49">
        <v>2.2945050428864802</v>
      </c>
      <c r="AF33" s="49">
        <f t="shared" si="36"/>
        <v>0.58153262982968013</v>
      </c>
      <c r="AG33" s="50">
        <f t="shared" si="37"/>
        <v>0.33948744614744547</v>
      </c>
      <c r="AH33" s="15">
        <v>1.395378507</v>
      </c>
      <c r="AI33" s="16">
        <v>1.4870356149999999</v>
      </c>
      <c r="AJ33" s="16">
        <f t="shared" si="38"/>
        <v>9.1657107999999932E-2</v>
      </c>
      <c r="AK33" s="17">
        <f t="shared" si="39"/>
        <v>6.5686197358062026E-2</v>
      </c>
      <c r="AL33" s="15">
        <v>21.369605705000001</v>
      </c>
      <c r="AM33" s="16">
        <v>21.6331584275</v>
      </c>
      <c r="AN33" s="16">
        <f t="shared" si="40"/>
        <v>0.26355272249999828</v>
      </c>
      <c r="AO33" s="17">
        <f t="shared" si="41"/>
        <v>1.2333064359644827E-2</v>
      </c>
      <c r="AP33" s="15">
        <v>21.369605705000001</v>
      </c>
      <c r="AQ33" s="16">
        <v>21.6331584275</v>
      </c>
      <c r="AR33" s="16">
        <f t="shared" si="42"/>
        <v>0.26355272249999828</v>
      </c>
      <c r="AS33" s="17">
        <f t="shared" si="43"/>
        <v>1.2333064359644827E-2</v>
      </c>
    </row>
    <row r="34" spans="1:45" x14ac:dyDescent="0.3">
      <c r="A34" s="1" t="s">
        <v>7</v>
      </c>
      <c r="B34" s="23">
        <v>28</v>
      </c>
      <c r="C34" s="24">
        <v>28</v>
      </c>
      <c r="D34" s="24">
        <f t="shared" si="22"/>
        <v>0</v>
      </c>
      <c r="E34" s="17">
        <f t="shared" si="23"/>
        <v>0</v>
      </c>
      <c r="F34" s="15">
        <v>0.82142857125000002</v>
      </c>
      <c r="G34" s="16">
        <v>0.82142857125000002</v>
      </c>
      <c r="H34" s="16">
        <f t="shared" si="24"/>
        <v>0</v>
      </c>
      <c r="I34" s="17">
        <f t="shared" si="25"/>
        <v>0</v>
      </c>
      <c r="J34" s="76">
        <v>23</v>
      </c>
      <c r="K34" s="77">
        <v>23</v>
      </c>
      <c r="L34" s="77">
        <f t="shared" si="26"/>
        <v>0</v>
      </c>
      <c r="M34" s="50">
        <f t="shared" si="27"/>
        <v>0</v>
      </c>
      <c r="N34" s="42">
        <v>41.86</v>
      </c>
      <c r="O34" s="16">
        <v>41.314079</v>
      </c>
      <c r="P34" s="16">
        <f t="shared" si="28"/>
        <v>-0.54592099999999988</v>
      </c>
      <c r="Q34" s="149">
        <f t="shared" si="29"/>
        <v>-1.3041591017677972E-2</v>
      </c>
      <c r="R34" s="47">
        <v>3.9539857870486861E-2</v>
      </c>
      <c r="S34" s="48">
        <v>2.7001103590661213E-2</v>
      </c>
      <c r="T34" s="49">
        <f t="shared" si="30"/>
        <v>-1.2538754279825648E-2</v>
      </c>
      <c r="U34" s="50">
        <f t="shared" si="31"/>
        <v>-0.31711682730111079</v>
      </c>
      <c r="V34" s="15">
        <v>129.48341500000001</v>
      </c>
      <c r="W34" s="16">
        <v>133.32966147499999</v>
      </c>
      <c r="X34" s="16">
        <f t="shared" si="32"/>
        <v>3.8462464749999867</v>
      </c>
      <c r="Y34" s="17">
        <f t="shared" si="33"/>
        <v>2.970454922740481E-2</v>
      </c>
      <c r="Z34" s="55">
        <v>233.98864180804901</v>
      </c>
      <c r="AA34" s="49">
        <v>313.34636877957598</v>
      </c>
      <c r="AB34" s="49">
        <f t="shared" si="34"/>
        <v>79.357726971526972</v>
      </c>
      <c r="AC34" s="50">
        <f t="shared" si="35"/>
        <v>0.33915204754522887</v>
      </c>
      <c r="AD34" s="55">
        <v>1.7609356406223899</v>
      </c>
      <c r="AE34" s="49">
        <v>2.3403951437442099</v>
      </c>
      <c r="AF34" s="49">
        <f t="shared" si="36"/>
        <v>0.57945950312181993</v>
      </c>
      <c r="AG34" s="50">
        <f t="shared" si="37"/>
        <v>0.32906341932917788</v>
      </c>
      <c r="AH34" s="15">
        <v>1.4373486010000001</v>
      </c>
      <c r="AI34" s="16">
        <v>1.4934862170000001</v>
      </c>
      <c r="AJ34" s="16">
        <f t="shared" si="38"/>
        <v>5.6137616000000001E-2</v>
      </c>
      <c r="AK34" s="17">
        <f t="shared" si="39"/>
        <v>3.9056368066134849E-2</v>
      </c>
      <c r="AL34" s="15">
        <v>23.3455538125</v>
      </c>
      <c r="AM34" s="16">
        <v>25.266128054999999</v>
      </c>
      <c r="AN34" s="16">
        <f t="shared" si="40"/>
        <v>1.920574242499999</v>
      </c>
      <c r="AO34" s="17">
        <f t="shared" si="41"/>
        <v>8.2267238461126518E-2</v>
      </c>
      <c r="AP34" s="15">
        <v>23.3455538125</v>
      </c>
      <c r="AQ34" s="16">
        <v>25.266128054999999</v>
      </c>
      <c r="AR34" s="16">
        <f t="shared" si="42"/>
        <v>1.920574242499999</v>
      </c>
      <c r="AS34" s="17">
        <f t="shared" si="43"/>
        <v>8.2267238461126518E-2</v>
      </c>
    </row>
    <row r="35" spans="1:45" x14ac:dyDescent="0.3">
      <c r="A35" s="1" t="s">
        <v>8</v>
      </c>
      <c r="B35" s="23">
        <v>35</v>
      </c>
      <c r="C35" s="24">
        <v>35</v>
      </c>
      <c r="D35" s="24">
        <f t="shared" si="22"/>
        <v>0</v>
      </c>
      <c r="E35" s="17">
        <f t="shared" si="23"/>
        <v>0</v>
      </c>
      <c r="F35" s="15">
        <v>0.82857142839999998</v>
      </c>
      <c r="G35" s="16">
        <v>0.85714285700000004</v>
      </c>
      <c r="H35" s="16">
        <f t="shared" si="24"/>
        <v>2.8571428600000059E-2</v>
      </c>
      <c r="I35" s="17">
        <f t="shared" si="25"/>
        <v>3.448275866230685E-2</v>
      </c>
      <c r="J35" s="76">
        <v>29</v>
      </c>
      <c r="K35" s="77">
        <v>30</v>
      </c>
      <c r="L35" s="77">
        <f t="shared" si="26"/>
        <v>1</v>
      </c>
      <c r="M35" s="50">
        <f t="shared" si="27"/>
        <v>3.4482758620689655E-2</v>
      </c>
      <c r="N35" s="42">
        <v>42.09</v>
      </c>
      <c r="O35" s="16">
        <v>40.309916999999999</v>
      </c>
      <c r="P35" s="16">
        <f t="shared" si="28"/>
        <v>-1.7800830000000047</v>
      </c>
      <c r="Q35" s="149">
        <f t="shared" si="29"/>
        <v>-4.2292302209551075E-2</v>
      </c>
      <c r="R35" s="47">
        <v>5.8856622721223051E-2</v>
      </c>
      <c r="S35" s="48">
        <v>2.7420895087100002E-2</v>
      </c>
      <c r="T35" s="49">
        <f t="shared" si="30"/>
        <v>-3.1435727634123049E-2</v>
      </c>
      <c r="U35" s="50">
        <f t="shared" si="31"/>
        <v>-0.53410688858278088</v>
      </c>
      <c r="V35" s="15">
        <v>135.97224188000001</v>
      </c>
      <c r="W35" s="16">
        <v>133.62536356000001</v>
      </c>
      <c r="X35" s="16">
        <f t="shared" si="32"/>
        <v>-2.3468783200000018</v>
      </c>
      <c r="Y35" s="17">
        <f t="shared" si="33"/>
        <v>-1.7259981063423219E-2</v>
      </c>
      <c r="Z35" s="55">
        <v>254.05089135964499</v>
      </c>
      <c r="AA35" s="49">
        <v>320.23998889272599</v>
      </c>
      <c r="AB35" s="49">
        <f t="shared" si="34"/>
        <v>66.189097533080997</v>
      </c>
      <c r="AC35" s="50">
        <f t="shared" si="35"/>
        <v>0.26053479749213304</v>
      </c>
      <c r="AD35" s="55">
        <v>1.8067199672785701</v>
      </c>
      <c r="AE35" s="49">
        <v>2.4035858126253098</v>
      </c>
      <c r="AF35" s="49">
        <f t="shared" si="36"/>
        <v>0.5968658453467397</v>
      </c>
      <c r="AG35" s="50">
        <f t="shared" si="37"/>
        <v>0.33035880277882135</v>
      </c>
      <c r="AH35" s="15">
        <v>1.470671558</v>
      </c>
      <c r="AI35" s="16">
        <v>1.4990522209999999</v>
      </c>
      <c r="AJ35" s="16">
        <f t="shared" si="38"/>
        <v>2.8380662999999862E-2</v>
      </c>
      <c r="AK35" s="17">
        <f t="shared" si="39"/>
        <v>1.9297757439870108E-2</v>
      </c>
      <c r="AL35" s="15">
        <v>27.586764253999998</v>
      </c>
      <c r="AM35" s="16">
        <v>28.147734574000001</v>
      </c>
      <c r="AN35" s="16">
        <f t="shared" si="40"/>
        <v>0.56097032000000269</v>
      </c>
      <c r="AO35" s="17">
        <f t="shared" si="41"/>
        <v>2.0334763252223886E-2</v>
      </c>
      <c r="AP35" s="15">
        <v>27.586764253999998</v>
      </c>
      <c r="AQ35" s="16">
        <v>28.147734574000001</v>
      </c>
      <c r="AR35" s="16">
        <f t="shared" si="42"/>
        <v>0.56097032000000269</v>
      </c>
      <c r="AS35" s="17">
        <f t="shared" si="43"/>
        <v>2.0334763252223886E-2</v>
      </c>
    </row>
    <row r="36" spans="1:45" x14ac:dyDescent="0.3">
      <c r="A36" s="1" t="s">
        <v>9</v>
      </c>
      <c r="B36" s="23">
        <v>28</v>
      </c>
      <c r="C36" s="24">
        <v>28</v>
      </c>
      <c r="D36" s="24">
        <f t="shared" si="22"/>
        <v>0</v>
      </c>
      <c r="E36" s="17">
        <f t="shared" si="23"/>
        <v>0</v>
      </c>
      <c r="F36" s="15">
        <v>0.82142857125000002</v>
      </c>
      <c r="G36" s="16">
        <v>0.82142857125000002</v>
      </c>
      <c r="H36" s="16">
        <f t="shared" si="24"/>
        <v>0</v>
      </c>
      <c r="I36" s="17">
        <f t="shared" si="25"/>
        <v>0</v>
      </c>
      <c r="J36" s="76">
        <v>23</v>
      </c>
      <c r="K36" s="77">
        <v>23</v>
      </c>
      <c r="L36" s="77">
        <f t="shared" si="26"/>
        <v>0</v>
      </c>
      <c r="M36" s="50">
        <f t="shared" si="27"/>
        <v>0</v>
      </c>
      <c r="N36" s="42">
        <v>43.77</v>
      </c>
      <c r="O36" s="16">
        <v>41.616418060000001</v>
      </c>
      <c r="P36" s="16">
        <f t="shared" si="28"/>
        <v>-2.1535819400000022</v>
      </c>
      <c r="Q36" s="149">
        <f t="shared" si="29"/>
        <v>-4.9202237605666027E-2</v>
      </c>
      <c r="R36" s="47">
        <v>3.2934820909841234E-2</v>
      </c>
      <c r="S36" s="48">
        <v>3.4023088761659999E-2</v>
      </c>
      <c r="T36" s="49">
        <f t="shared" si="30"/>
        <v>1.0882678518187652E-3</v>
      </c>
      <c r="U36" s="50">
        <f t="shared" si="31"/>
        <v>3.3043077865760627E-2</v>
      </c>
      <c r="V36" s="15">
        <v>139.93010087499999</v>
      </c>
      <c r="W36" s="16">
        <v>133.52502832499999</v>
      </c>
      <c r="X36" s="16">
        <f t="shared" si="32"/>
        <v>-6.4050725499999999</v>
      </c>
      <c r="Y36" s="17">
        <f t="shared" si="33"/>
        <v>-4.5773371918895932E-2</v>
      </c>
      <c r="Z36" s="55">
        <v>258.57135858402398</v>
      </c>
      <c r="AA36" s="49">
        <v>333.04958844843497</v>
      </c>
      <c r="AB36" s="49">
        <f t="shared" si="34"/>
        <v>74.478229864410991</v>
      </c>
      <c r="AC36" s="50">
        <f t="shared" si="35"/>
        <v>0.28803743102973617</v>
      </c>
      <c r="AD36" s="55">
        <v>1.87537532603515</v>
      </c>
      <c r="AE36" s="49">
        <v>2.4780969728166902</v>
      </c>
      <c r="AF36" s="49">
        <f t="shared" si="36"/>
        <v>0.60272164678154017</v>
      </c>
      <c r="AG36" s="50">
        <f t="shared" si="37"/>
        <v>0.32138721162328199</v>
      </c>
      <c r="AH36" s="15">
        <v>1.4302726160000001</v>
      </c>
      <c r="AI36" s="16">
        <v>1.509063491</v>
      </c>
      <c r="AJ36" s="16">
        <f t="shared" si="38"/>
        <v>7.8790874999999927E-2</v>
      </c>
      <c r="AK36" s="17">
        <f t="shared" si="39"/>
        <v>5.5088011976592244E-2</v>
      </c>
      <c r="AL36" s="15">
        <v>29.539996030000001</v>
      </c>
      <c r="AM36" s="16">
        <v>32.046860172499997</v>
      </c>
      <c r="AN36" s="16">
        <f t="shared" si="40"/>
        <v>2.506864142499996</v>
      </c>
      <c r="AO36" s="17">
        <f t="shared" si="41"/>
        <v>8.486338792849174E-2</v>
      </c>
      <c r="AP36" s="15">
        <v>29.539996030000001</v>
      </c>
      <c r="AQ36" s="16">
        <v>32.046860172499997</v>
      </c>
      <c r="AR36" s="16">
        <f t="shared" si="42"/>
        <v>2.506864142499996</v>
      </c>
      <c r="AS36" s="17">
        <f t="shared" si="43"/>
        <v>8.486338792849174E-2</v>
      </c>
    </row>
    <row r="37" spans="1:45" x14ac:dyDescent="0.3">
      <c r="A37" s="1" t="s">
        <v>10</v>
      </c>
      <c r="B37" s="23">
        <v>28</v>
      </c>
      <c r="C37" s="24">
        <v>28</v>
      </c>
      <c r="D37" s="24">
        <f t="shared" si="22"/>
        <v>0</v>
      </c>
      <c r="E37" s="80">
        <f t="shared" si="23"/>
        <v>0</v>
      </c>
      <c r="F37" s="15">
        <v>0.7857142855</v>
      </c>
      <c r="G37" s="16">
        <v>0.85714285700000004</v>
      </c>
      <c r="H37" s="16">
        <f t="shared" si="24"/>
        <v>7.1428571500000038E-2</v>
      </c>
      <c r="I37" s="80">
        <f t="shared" si="25"/>
        <v>9.0909091024793443E-2</v>
      </c>
      <c r="J37" s="76">
        <v>22</v>
      </c>
      <c r="K37" s="77">
        <v>24</v>
      </c>
      <c r="L37" s="77">
        <f t="shared" si="26"/>
        <v>2</v>
      </c>
      <c r="M37" s="50">
        <f t="shared" si="27"/>
        <v>9.0909090909090912E-2</v>
      </c>
      <c r="N37" s="42">
        <v>41.35</v>
      </c>
      <c r="O37" s="16">
        <v>43.515901569999997</v>
      </c>
      <c r="P37" s="16">
        <f t="shared" si="28"/>
        <v>2.1659015699999955</v>
      </c>
      <c r="Q37" s="150">
        <f t="shared" si="29"/>
        <v>5.2379723579201821E-2</v>
      </c>
      <c r="R37" s="47">
        <v>4.2545373094803107E-2</v>
      </c>
      <c r="S37" s="48">
        <v>3.81651E-2</v>
      </c>
      <c r="T37" s="49">
        <f t="shared" si="30"/>
        <v>-4.3802730948031068E-3</v>
      </c>
      <c r="U37" s="50">
        <f t="shared" si="31"/>
        <v>-0.10295533394530637</v>
      </c>
      <c r="V37" s="15">
        <v>138.02570305</v>
      </c>
      <c r="W37" s="16">
        <v>133.71952232500001</v>
      </c>
      <c r="X37" s="16">
        <f t="shared" si="32"/>
        <v>-4.3061807249999902</v>
      </c>
      <c r="Y37" s="80">
        <f t="shared" si="33"/>
        <v>-3.1198397326330372E-2</v>
      </c>
      <c r="Z37" s="55">
        <v>266.957121286914</v>
      </c>
      <c r="AA37" s="49">
        <v>339.71058021740402</v>
      </c>
      <c r="AB37" s="49">
        <f t="shared" si="34"/>
        <v>72.753458930490012</v>
      </c>
      <c r="AC37" s="50">
        <f t="shared" si="35"/>
        <v>0.27252863148871664</v>
      </c>
      <c r="AD37" s="55">
        <v>1.9278858351641399</v>
      </c>
      <c r="AE37" s="49">
        <v>2.57969894870218</v>
      </c>
      <c r="AF37" s="49">
        <f t="shared" si="36"/>
        <v>0.65181311353804006</v>
      </c>
      <c r="AG37" s="50">
        <f t="shared" si="37"/>
        <v>0.33809736118661032</v>
      </c>
      <c r="AH37" s="15">
        <v>1.4153473569999999</v>
      </c>
      <c r="AI37" s="16">
        <v>1.514184596</v>
      </c>
      <c r="AJ37" s="16">
        <f t="shared" si="38"/>
        <v>9.8837239000000077E-2</v>
      </c>
      <c r="AK37" s="80">
        <f t="shared" si="39"/>
        <v>6.9832496249894141E-2</v>
      </c>
      <c r="AL37" s="15">
        <v>34.381850912499999</v>
      </c>
      <c r="AM37" s="16">
        <v>31.605955510000001</v>
      </c>
      <c r="AN37" s="16">
        <f t="shared" si="40"/>
        <v>-2.775895402499998</v>
      </c>
      <c r="AO37" s="80">
        <f t="shared" si="41"/>
        <v>-8.0737229928793119E-2</v>
      </c>
      <c r="AP37" s="15">
        <v>34.381850912499999</v>
      </c>
      <c r="AQ37" s="16">
        <v>31.605955510000001</v>
      </c>
      <c r="AR37" s="16">
        <f t="shared" si="42"/>
        <v>-2.775895402499998</v>
      </c>
      <c r="AS37" s="80">
        <f t="shared" si="43"/>
        <v>-8.0737229928793119E-2</v>
      </c>
    </row>
    <row r="38" spans="1:45" ht="15" thickBot="1" x14ac:dyDescent="0.35">
      <c r="A38" s="4" t="s">
        <v>11</v>
      </c>
      <c r="B38" s="25">
        <v>39</v>
      </c>
      <c r="C38" s="26">
        <v>41</v>
      </c>
      <c r="D38" s="26">
        <f t="shared" si="22"/>
        <v>2</v>
      </c>
      <c r="E38" s="20">
        <f t="shared" si="23"/>
        <v>5.128205128205128E-2</v>
      </c>
      <c r="F38" s="18">
        <v>0.80259740239999999</v>
      </c>
      <c r="G38" s="19">
        <v>0.75384615359999996</v>
      </c>
      <c r="H38" s="19">
        <f t="shared" si="24"/>
        <v>-4.8751248800000035E-2</v>
      </c>
      <c r="I38" s="20">
        <f t="shared" si="25"/>
        <v>-6.0741847225295777E-2</v>
      </c>
      <c r="J38" s="78">
        <v>31</v>
      </c>
      <c r="K38" s="79">
        <v>31</v>
      </c>
      <c r="L38" s="79">
        <f t="shared" si="26"/>
        <v>0</v>
      </c>
      <c r="M38" s="54">
        <f t="shared" si="27"/>
        <v>0</v>
      </c>
      <c r="N38" s="18">
        <v>42.348258999999999</v>
      </c>
      <c r="O38" s="19">
        <v>42.881387320000002</v>
      </c>
      <c r="P38" s="19">
        <f t="shared" si="28"/>
        <v>0.53312832000000299</v>
      </c>
      <c r="Q38" s="151">
        <f t="shared" si="29"/>
        <v>1.258914374732626E-2</v>
      </c>
      <c r="R38" s="51">
        <v>3.7437073551383371E-2</v>
      </c>
      <c r="S38" s="52">
        <v>4.0374610247000002E-2</v>
      </c>
      <c r="T38" s="53">
        <f t="shared" si="30"/>
        <v>2.9375366956166313E-3</v>
      </c>
      <c r="U38" s="54">
        <f t="shared" si="31"/>
        <v>7.846598083006634E-2</v>
      </c>
      <c r="V38" s="18">
        <v>139.79453384000001</v>
      </c>
      <c r="W38" s="19">
        <v>130.67316326</v>
      </c>
      <c r="X38" s="19">
        <f t="shared" si="32"/>
        <v>-9.1213705800000184</v>
      </c>
      <c r="Y38" s="20">
        <f t="shared" si="33"/>
        <v>-6.524840656816927E-2</v>
      </c>
      <c r="Z38" s="56">
        <v>277.43408326728598</v>
      </c>
      <c r="AA38" s="53">
        <v>346.50479182175201</v>
      </c>
      <c r="AB38" s="53">
        <f t="shared" si="34"/>
        <v>69.070708554466023</v>
      </c>
      <c r="AC38" s="54">
        <f t="shared" si="35"/>
        <v>0.24896259227069015</v>
      </c>
      <c r="AD38" s="56">
        <v>1.9568041226916</v>
      </c>
      <c r="AE38" s="53">
        <v>2.6828869066502601</v>
      </c>
      <c r="AF38" s="53">
        <f t="shared" si="36"/>
        <v>0.72608278395866011</v>
      </c>
      <c r="AG38" s="54">
        <f t="shared" si="37"/>
        <v>0.37105542427002214</v>
      </c>
      <c r="AH38" s="18">
        <v>1.4260074599999999</v>
      </c>
      <c r="AI38" s="19">
        <v>1.5193230790000001</v>
      </c>
      <c r="AJ38" s="19">
        <f t="shared" si="38"/>
        <v>9.3315619000000183E-2</v>
      </c>
      <c r="AK38" s="20">
        <f t="shared" si="39"/>
        <v>6.5438380665975043E-2</v>
      </c>
      <c r="AL38" s="18">
        <v>33.137649676000002</v>
      </c>
      <c r="AM38" s="19">
        <v>32.691432163999998</v>
      </c>
      <c r="AN38" s="19">
        <f t="shared" si="40"/>
        <v>-0.44621751200000404</v>
      </c>
      <c r="AO38" s="20">
        <f t="shared" si="41"/>
        <v>-1.3465575149802426E-2</v>
      </c>
      <c r="AP38" s="18">
        <v>33.137649676000002</v>
      </c>
      <c r="AQ38" s="19">
        <v>32.691432163999998</v>
      </c>
      <c r="AR38" s="19">
        <f t="shared" si="42"/>
        <v>-0.44621751200000404</v>
      </c>
      <c r="AS38" s="20">
        <f t="shared" si="43"/>
        <v>-1.3465575149802426E-2</v>
      </c>
    </row>
    <row r="39" spans="1:45" ht="15" thickBot="1" x14ac:dyDescent="0.35">
      <c r="A39" s="4" t="s">
        <v>15</v>
      </c>
      <c r="B39" s="25">
        <f>SUM(B27:B38)</f>
        <v>365</v>
      </c>
      <c r="C39" s="26">
        <f>SUM(C27:C38)</f>
        <v>366</v>
      </c>
      <c r="D39" s="26">
        <f>C39-B39</f>
        <v>1</v>
      </c>
      <c r="E39" s="83">
        <f>(C39-B39)/B39</f>
        <v>2.7397260273972603E-3</v>
      </c>
      <c r="F39" s="18">
        <f>(4*SUM(F27:F28,F30:F31,F33:F34,F36:F37)+5*SUM(F29,F32,F35,F38))/52</f>
        <v>0.80588161819230786</v>
      </c>
      <c r="G39" s="19">
        <f>(4*SUM(G27:G28,G30:G31,G33:G34,G36:G37)+5*SUM(G29,G32,G35,G38))/52</f>
        <v>0.81058044500000004</v>
      </c>
      <c r="H39" s="19">
        <f>G39-F39</f>
        <v>4.6988268076921802E-3</v>
      </c>
      <c r="I39" s="83">
        <f>(G39-F39)/F39</f>
        <v>5.8306663182518415E-3</v>
      </c>
      <c r="J39" s="78">
        <f>SUM(J27:J38)</f>
        <v>294</v>
      </c>
      <c r="K39" s="79">
        <f>SUM(K27:K38)</f>
        <v>297</v>
      </c>
      <c r="L39" s="79">
        <f t="shared" ref="L39" si="44">K39-J39</f>
        <v>3</v>
      </c>
      <c r="M39" s="54">
        <f t="shared" ref="M39" si="45">(K39-J39)/J39</f>
        <v>1.020408163265306E-2</v>
      </c>
      <c r="N39" s="18">
        <f>(4*SUM(N27:N28,N30:N31,N33:N34,N36:N37)+5*SUM(N29,N32,N35,N38))/52</f>
        <v>39.302140288461537</v>
      </c>
      <c r="O39" s="19">
        <f>(4*SUM(O27:O28,O30:O31,O33:O34,O36:O37)+5*SUM(O29,O32,O35,O38))/52</f>
        <v>40.996605656153847</v>
      </c>
      <c r="P39" s="19">
        <f>O39-N39</f>
        <v>1.6944653676923096</v>
      </c>
      <c r="Q39" s="83">
        <f>(O39-N39)/N39</f>
        <v>4.3113819126786253E-2</v>
      </c>
      <c r="R39" s="51">
        <f>PRODUCT((1+R27),(1+R28),(1+R29),(1+R30),(1+R31),(1+R32),(1+R33),(1+R34),(1+R35),(1+R36),(1+R37),(1+R38))-1</f>
        <v>0.53832402016333858</v>
      </c>
      <c r="S39" s="52">
        <f>PRODUCT((1+S27),(1+S28),(1+S29),(1+S30),(1+S31),(1+S32),(1+S33),(1+S34),(1+S35),(1+S36),(1+S37),(1+S38))-1</f>
        <v>0.36451578844015486</v>
      </c>
      <c r="T39" s="53">
        <f>S39-R39</f>
        <v>-0.17380823172318371</v>
      </c>
      <c r="U39" s="54">
        <f>(S39-R39)/R39</f>
        <v>-0.32286917397898524</v>
      </c>
      <c r="V39" s="18">
        <f>(4*SUM(V27:V28,V30:V31,V33:V34,V36:V37)+5*SUM(V29,V32,V35,V38))/52</f>
        <v>134.31111522307691</v>
      </c>
      <c r="W39" s="19">
        <f>(4*SUM(W27:W28,W30:W31,W33:W34,W36:W37)+5*SUM(W29,W32,W35,W38))/52</f>
        <v>134.20403551538462</v>
      </c>
      <c r="X39" s="19">
        <f>W39-V39</f>
        <v>-0.10707970769229291</v>
      </c>
      <c r="Y39" s="84">
        <f>(W39-V39)/V39</f>
        <v>-7.9725127376423439E-4</v>
      </c>
      <c r="Z39" s="56">
        <f>(4*SUM(Z27:Z28,Z30:Z31,Z33:Z34,Z36:Z37)+5*SUM(Z29,Z32,Z35,Z38))/52</f>
        <v>227.38430270446028</v>
      </c>
      <c r="AA39" s="53">
        <f>(4*SUM(AA27:AA28,AA30:AA31,AA33:AA34,AA36:AA37)+5*SUM(AA29,AA32,AA35,AA38))/52</f>
        <v>313.93774623609522</v>
      </c>
      <c r="AB39" s="53">
        <f>AA39-Z39</f>
        <v>86.55344353163494</v>
      </c>
      <c r="AC39" s="54">
        <f>(AA39-Z39)/Z39</f>
        <v>0.38064827915641841</v>
      </c>
      <c r="AD39" s="56">
        <f>(4*SUM(AD27:AD28,AD30:AD31,AD33:AD34,AD36:AD37)+5*SUM(AD29,AD32,AD35,AD38))/52</f>
        <v>1.6835675975782005</v>
      </c>
      <c r="AE39" s="53">
        <f>(4*SUM(AE27:AE28,AE30:AE31,AE33:AE34,AE36:AE37)+5*SUM(AE29,AE32,AE35,AE38))/52</f>
        <v>2.3535393355077048</v>
      </c>
      <c r="AF39" s="53">
        <f>AE39-AD39</f>
        <v>0.66997173792950426</v>
      </c>
      <c r="AG39" s="54">
        <f>(AE39-AD39)/AD39</f>
        <v>0.39794763150184981</v>
      </c>
      <c r="AH39" s="18">
        <f>(4*SUM(AH27:AH28,AH30:AH31,AH33:AH34,AH36:AH37)+5*SUM(AH29,AH32,AH35,AH38))/52</f>
        <v>1.398375182326923</v>
      </c>
      <c r="AI39" s="19">
        <f>(4*SUM(AI27:AI28,AI30:AI31,AI33:AI34,AI36:AI37)+5*SUM(AI29,AI32,AI35,AI38))/52</f>
        <v>1.4870200688653847</v>
      </c>
      <c r="AJ39" s="19">
        <f>AI39-AH39</f>
        <v>8.8644886538461698E-2</v>
      </c>
      <c r="AK39" s="83">
        <f>(AI39-AH39)/AH39</f>
        <v>6.3391347085375832E-2</v>
      </c>
      <c r="AL39" s="18">
        <f>(4*SUM(AL27:AL28,AL30:AL31,AL33:AL34,AL36:AL37)+5*SUM(AL29,AL32,AL35,AL38))/52</f>
        <v>28.126125070769231</v>
      </c>
      <c r="AM39" s="19">
        <f>(4*SUM(AM27:AM28,AM30:AM31,AM33:AM34,AM36:AM37)+5*SUM(AM29,AM32,AM35,AM38))/52</f>
        <v>29.15799084</v>
      </c>
      <c r="AN39" s="19">
        <f>AM39-AL39</f>
        <v>1.0318657692307696</v>
      </c>
      <c r="AO39" s="83">
        <f>(AM39-AL39)/AL39</f>
        <v>3.6687093107722883E-2</v>
      </c>
      <c r="AP39" s="18">
        <f>(4*SUM(AP27:AP28,AP30:AP31,AP33:AP34,AP36:AP37)+5*SUM(AP29,AP32,AP35,AP38))/52</f>
        <v>28.126125070769231</v>
      </c>
      <c r="AQ39" s="19">
        <f>(4*SUM(AQ27:AQ28,AQ30:AQ31,AQ33:AQ34,AQ36:AQ37)+5*SUM(AQ29,AQ32,AQ35,AQ38))/52</f>
        <v>29.15799084</v>
      </c>
      <c r="AR39" s="19">
        <f>AQ39-AP39</f>
        <v>1.0318657692307696</v>
      </c>
      <c r="AS39" s="83">
        <f>(AQ39-AP39)/AP39</f>
        <v>3.6687093107722883E-2</v>
      </c>
    </row>
    <row r="40" spans="1:45" x14ac:dyDescent="0.3">
      <c r="B40" s="3"/>
      <c r="C40" s="3"/>
      <c r="D40" s="3"/>
      <c r="E40" s="3"/>
    </row>
  </sheetData>
  <mergeCells count="49">
    <mergeCell ref="AP1:AS5"/>
    <mergeCell ref="AP7:AS7"/>
    <mergeCell ref="AP8:AS8"/>
    <mergeCell ref="AP24:AS24"/>
    <mergeCell ref="AP25:AS25"/>
    <mergeCell ref="B1:E5"/>
    <mergeCell ref="B8:E8"/>
    <mergeCell ref="B25:E25"/>
    <mergeCell ref="B7:M7"/>
    <mergeCell ref="B24:M24"/>
    <mergeCell ref="J1:M5"/>
    <mergeCell ref="J8:M8"/>
    <mergeCell ref="J25:M25"/>
    <mergeCell ref="F1:I5"/>
    <mergeCell ref="F8:I8"/>
    <mergeCell ref="AD1:AG5"/>
    <mergeCell ref="AH1:AK5"/>
    <mergeCell ref="AL1:AO5"/>
    <mergeCell ref="N7:Q7"/>
    <mergeCell ref="R7:U7"/>
    <mergeCell ref="V7:Y7"/>
    <mergeCell ref="Z7:AG7"/>
    <mergeCell ref="AH7:AK7"/>
    <mergeCell ref="AL7:AO7"/>
    <mergeCell ref="N1:Q5"/>
    <mergeCell ref="R1:U5"/>
    <mergeCell ref="V1:Y5"/>
    <mergeCell ref="Z1:AC5"/>
    <mergeCell ref="AD8:AG8"/>
    <mergeCell ref="AH8:AK8"/>
    <mergeCell ref="AL8:AO8"/>
    <mergeCell ref="N24:Q24"/>
    <mergeCell ref="R24:U24"/>
    <mergeCell ref="V24:Y24"/>
    <mergeCell ref="Z24:AG24"/>
    <mergeCell ref="AH24:AK24"/>
    <mergeCell ref="AL24:AO24"/>
    <mergeCell ref="N8:Q8"/>
    <mergeCell ref="R8:U8"/>
    <mergeCell ref="V8:Y8"/>
    <mergeCell ref="Z8:AC8"/>
    <mergeCell ref="AD25:AG25"/>
    <mergeCell ref="AH25:AK25"/>
    <mergeCell ref="AL25:AO25"/>
    <mergeCell ref="F25:I25"/>
    <mergeCell ref="N25:Q25"/>
    <mergeCell ref="R25:U25"/>
    <mergeCell ref="V25:Y25"/>
    <mergeCell ref="Z25:AC25"/>
  </mergeCells>
  <pageMargins left="0.7" right="0.7" top="0.75" bottom="0.75" header="0.3" footer="0.3"/>
  <pageSetup orientation="portrait" r:id="rId1"/>
  <headerFooter>
    <oddFooter>&amp;C&amp;1#&amp;"Calibri"&amp;10&amp;K000000Classified - Confidential</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L36"/>
  <sheetViews>
    <sheetView showGridLines="0" zoomScale="80" zoomScaleNormal="80" workbookViewId="0">
      <pane xSplit="1" topLeftCell="B1" activePane="topRight" state="frozen"/>
      <selection activeCell="A3" sqref="A3"/>
      <selection pane="topRight" activeCell="H7" sqref="H7"/>
    </sheetView>
  </sheetViews>
  <sheetFormatPr baseColWidth="10" defaultColWidth="24.44140625" defaultRowHeight="14.4" outlineLevelRow="1" x14ac:dyDescent="0.3"/>
  <cols>
    <col min="1" max="1" width="12.109375" customWidth="1"/>
    <col min="2" max="2" width="15.6640625" bestFit="1" customWidth="1"/>
    <col min="3" max="4" width="12" bestFit="1" customWidth="1"/>
    <col min="5" max="5" width="15.44140625" bestFit="1" customWidth="1"/>
    <col min="6" max="6" width="20.5546875" bestFit="1" customWidth="1"/>
    <col min="7" max="7" width="12.109375" bestFit="1" customWidth="1"/>
    <col min="8" max="8" width="13" bestFit="1" customWidth="1"/>
    <col min="9" max="9" width="16" bestFit="1" customWidth="1"/>
    <col min="10" max="10" width="12.5546875" bestFit="1" customWidth="1"/>
    <col min="11" max="11" width="13.44140625" customWidth="1"/>
    <col min="12" max="12" width="102.6640625" style="27" customWidth="1"/>
  </cols>
  <sheetData>
    <row r="1" spans="1:12" ht="25.8" x14ac:dyDescent="0.5">
      <c r="B1" s="305" t="s">
        <v>47</v>
      </c>
      <c r="C1" s="305"/>
      <c r="D1" s="305"/>
      <c r="E1" s="305"/>
      <c r="F1" s="305"/>
      <c r="G1" s="305"/>
      <c r="H1" s="305"/>
      <c r="I1" s="305"/>
    </row>
    <row r="2" spans="1:12" x14ac:dyDescent="0.3">
      <c r="A2" s="306" t="str">
        <f>'Andina DT'!A2:J2</f>
        <v>w47</v>
      </c>
      <c r="B2" s="306"/>
      <c r="C2" s="306"/>
      <c r="D2" s="306"/>
      <c r="E2" s="306"/>
      <c r="F2" s="306"/>
      <c r="G2" s="306"/>
      <c r="H2" s="306"/>
      <c r="I2" s="306"/>
      <c r="J2" s="310" t="s">
        <v>66</v>
      </c>
      <c r="L2" s="130" t="str">
        <f>"Comentarios "&amp;A2</f>
        <v>Comentarios w47</v>
      </c>
    </row>
    <row r="3" spans="1:12" ht="28.8" x14ac:dyDescent="0.3">
      <c r="A3" s="5" t="s">
        <v>34</v>
      </c>
      <c r="B3" s="5" t="s">
        <v>26</v>
      </c>
      <c r="C3" s="40" t="s">
        <v>21</v>
      </c>
      <c r="D3" s="40" t="s">
        <v>22</v>
      </c>
      <c r="E3" s="40" t="s">
        <v>23</v>
      </c>
      <c r="F3" s="40" t="s">
        <v>24</v>
      </c>
      <c r="G3" s="40" t="s">
        <v>25</v>
      </c>
      <c r="H3" s="5" t="s">
        <v>62</v>
      </c>
      <c r="I3" s="5" t="s">
        <v>65</v>
      </c>
      <c r="J3" s="311"/>
    </row>
    <row r="4" spans="1:12" ht="15" customHeight="1" x14ac:dyDescent="0.3">
      <c r="A4" s="6" t="s">
        <v>0</v>
      </c>
      <c r="B4" s="7">
        <v>10608186.782</v>
      </c>
      <c r="C4" s="7">
        <v>-125312.677679852</v>
      </c>
      <c r="D4" s="7">
        <v>649539.86026903801</v>
      </c>
      <c r="E4" s="7">
        <v>412986.17225893697</v>
      </c>
      <c r="F4" s="7">
        <v>-712107.67777474097</v>
      </c>
      <c r="G4" s="7">
        <v>183077.56358586199</v>
      </c>
      <c r="H4" s="7">
        <v>-696959.09085924295</v>
      </c>
      <c r="I4" s="7">
        <f t="shared" ref="I4:I15" si="0">SUM(B4:H4)</f>
        <v>10319410.931800002</v>
      </c>
      <c r="J4" s="123">
        <f t="shared" ref="J4:J16" si="1">I4/B4-1</f>
        <v>-2.7221980168184223E-2</v>
      </c>
      <c r="K4" s="90"/>
      <c r="L4" s="317"/>
    </row>
    <row r="5" spans="1:12" x14ac:dyDescent="0.3">
      <c r="A5" s="6" t="s">
        <v>1</v>
      </c>
      <c r="B5" s="7">
        <v>11161182.374</v>
      </c>
      <c r="C5" s="7">
        <v>0</v>
      </c>
      <c r="D5" s="7">
        <v>482314.67182305403</v>
      </c>
      <c r="E5" s="7">
        <v>579180.83630182198</v>
      </c>
      <c r="F5" s="7">
        <v>-659130.80526991002</v>
      </c>
      <c r="G5" s="7">
        <v>-74464.331319016303</v>
      </c>
      <c r="H5" s="7">
        <v>476031.572464058</v>
      </c>
      <c r="I5" s="7">
        <f t="shared" si="0"/>
        <v>11965114.318000009</v>
      </c>
      <c r="J5" s="124">
        <f t="shared" si="1"/>
        <v>7.2029281223176644E-2</v>
      </c>
      <c r="K5" s="90"/>
      <c r="L5" s="317"/>
    </row>
    <row r="6" spans="1:12" x14ac:dyDescent="0.3">
      <c r="A6" s="6" t="s">
        <v>2</v>
      </c>
      <c r="B6" s="7">
        <v>13504848.627</v>
      </c>
      <c r="C6" s="7">
        <v>-503812.021216041</v>
      </c>
      <c r="D6" s="7">
        <v>558359.80672516103</v>
      </c>
      <c r="E6" s="7">
        <v>789094.07715001097</v>
      </c>
      <c r="F6" s="7">
        <v>-576242.196076127</v>
      </c>
      <c r="G6" s="7">
        <v>635746.04373966402</v>
      </c>
      <c r="H6" s="7">
        <v>65561.800225059793</v>
      </c>
      <c r="I6" s="7">
        <f t="shared" si="0"/>
        <v>14473556.13754773</v>
      </c>
      <c r="J6" s="124">
        <f t="shared" si="1"/>
        <v>7.17303493954764E-2</v>
      </c>
      <c r="K6" s="90"/>
      <c r="L6" s="317"/>
    </row>
    <row r="7" spans="1:12" x14ac:dyDescent="0.3">
      <c r="A7" s="6" t="s">
        <v>3</v>
      </c>
      <c r="B7" s="7">
        <v>10536213.152000001</v>
      </c>
      <c r="C7" s="100">
        <v>-318613.82953662198</v>
      </c>
      <c r="D7" s="7">
        <v>312890.661398742</v>
      </c>
      <c r="E7" s="7">
        <v>692004.08375916001</v>
      </c>
      <c r="F7" s="7">
        <v>-63649.648655113102</v>
      </c>
      <c r="G7" s="7">
        <v>-324923.45786164602</v>
      </c>
      <c r="H7" s="7">
        <v>-704577.09098441899</v>
      </c>
      <c r="I7" s="7">
        <f t="shared" si="0"/>
        <v>10129343.870120104</v>
      </c>
      <c r="J7" s="124">
        <f t="shared" si="1"/>
        <v>-3.8616272849668398E-2</v>
      </c>
      <c r="K7" s="90"/>
      <c r="L7" s="317"/>
    </row>
    <row r="8" spans="1:12" x14ac:dyDescent="0.3">
      <c r="A8" s="6" t="s">
        <v>4</v>
      </c>
      <c r="B8" s="7">
        <v>9937199.8699999992</v>
      </c>
      <c r="C8" s="7">
        <v>318770.23337845301</v>
      </c>
      <c r="D8" s="7">
        <v>123092.636118533</v>
      </c>
      <c r="E8" s="7">
        <v>516672.71406137297</v>
      </c>
      <c r="F8" s="7">
        <v>-710160.00321293995</v>
      </c>
      <c r="G8" s="7">
        <v>70308.884438016597</v>
      </c>
      <c r="H8" s="7">
        <v>-47442.098727913602</v>
      </c>
      <c r="I8" s="7">
        <f t="shared" si="0"/>
        <v>10208442.236055523</v>
      </c>
      <c r="J8" s="124">
        <f t="shared" si="1"/>
        <v>2.7295653665414754E-2</v>
      </c>
      <c r="K8" s="90"/>
      <c r="L8" s="317"/>
    </row>
    <row r="9" spans="1:12" ht="15" customHeight="1" x14ac:dyDescent="0.3">
      <c r="A9" s="6" t="s">
        <v>5</v>
      </c>
      <c r="B9" s="7">
        <v>12028981.926000001</v>
      </c>
      <c r="C9" s="7">
        <v>237879.50984693901</v>
      </c>
      <c r="D9" s="7">
        <v>-81322.873279671199</v>
      </c>
      <c r="E9" s="7">
        <v>556781.61431567697</v>
      </c>
      <c r="F9" s="7">
        <v>-815090.19449706504</v>
      </c>
      <c r="G9" s="7">
        <v>-125178.957290661</v>
      </c>
      <c r="H9" s="7">
        <v>-211951.14973560601</v>
      </c>
      <c r="I9" s="7">
        <f t="shared" si="0"/>
        <v>11590099.875359613</v>
      </c>
      <c r="J9" s="124">
        <f t="shared" si="1"/>
        <v>-3.6485386156559718E-2</v>
      </c>
      <c r="K9" s="90"/>
      <c r="L9" s="317"/>
    </row>
    <row r="10" spans="1:12" x14ac:dyDescent="0.3">
      <c r="A10" s="6" t="s">
        <v>6</v>
      </c>
      <c r="B10" s="7">
        <v>10003488.717</v>
      </c>
      <c r="C10" s="7">
        <v>0</v>
      </c>
      <c r="D10" s="7">
        <v>-355753.24800466199</v>
      </c>
      <c r="E10" s="7">
        <v>350744.92669526499</v>
      </c>
      <c r="F10" s="7">
        <v>-489220.80971948197</v>
      </c>
      <c r="G10" s="7">
        <v>-100199.83123893999</v>
      </c>
      <c r="H10" s="7">
        <v>-415659.79791270703</v>
      </c>
      <c r="I10" s="7">
        <f t="shared" si="0"/>
        <v>8993399.9568194728</v>
      </c>
      <c r="J10" s="124">
        <f t="shared" si="1"/>
        <v>-0.10097364916941176</v>
      </c>
      <c r="K10" s="90"/>
      <c r="L10" s="317"/>
    </row>
    <row r="11" spans="1:12" x14ac:dyDescent="0.3">
      <c r="A11" s="6" t="s">
        <v>7</v>
      </c>
      <c r="B11" s="7">
        <v>9783148.0449999999</v>
      </c>
      <c r="C11" s="7">
        <v>0</v>
      </c>
      <c r="D11" s="7">
        <v>-33951.1579162981</v>
      </c>
      <c r="E11" s="7">
        <v>404129.01681713399</v>
      </c>
      <c r="F11" s="7">
        <v>-688571.65636151505</v>
      </c>
      <c r="G11" s="7">
        <v>320475.87455924897</v>
      </c>
      <c r="H11" s="7">
        <v>189576.07382368401</v>
      </c>
      <c r="I11" s="7">
        <f t="shared" si="0"/>
        <v>9974806.1959222555</v>
      </c>
      <c r="J11" s="124">
        <f t="shared" si="1"/>
        <v>1.9590641993832314E-2</v>
      </c>
      <c r="K11" s="90"/>
      <c r="L11" s="317"/>
    </row>
    <row r="12" spans="1:12" ht="15" customHeight="1" x14ac:dyDescent="0.3">
      <c r="A12" s="6" t="s">
        <v>8</v>
      </c>
      <c r="B12" s="7">
        <v>13619987.379000001</v>
      </c>
      <c r="C12" s="7">
        <v>441850.55514836102</v>
      </c>
      <c r="D12" s="7">
        <v>-148274.87289682901</v>
      </c>
      <c r="E12" s="7">
        <v>714694.18978814804</v>
      </c>
      <c r="F12" s="7">
        <v>-788358.05017560197</v>
      </c>
      <c r="G12" s="7">
        <v>-251501.967833815</v>
      </c>
      <c r="H12" s="7">
        <v>-651005.515740006</v>
      </c>
      <c r="I12" s="7">
        <f t="shared" si="0"/>
        <v>12937391.717290258</v>
      </c>
      <c r="J12" s="124">
        <f t="shared" si="1"/>
        <v>-5.011720222018734E-2</v>
      </c>
      <c r="K12" s="90"/>
      <c r="L12" s="319"/>
    </row>
    <row r="13" spans="1:12" x14ac:dyDescent="0.3">
      <c r="A13" s="6" t="s">
        <v>9</v>
      </c>
      <c r="B13" s="7">
        <v>10971984.499</v>
      </c>
      <c r="C13" s="7">
        <v>0</v>
      </c>
      <c r="D13" s="7">
        <v>-332891.339439895</v>
      </c>
      <c r="E13" s="7">
        <v>612456.12884765002</v>
      </c>
      <c r="F13" s="7">
        <v>-1062549.1574508599</v>
      </c>
      <c r="G13" s="7">
        <v>169357.089780743</v>
      </c>
      <c r="H13" s="7">
        <v>184973.01362371299</v>
      </c>
      <c r="I13" s="7">
        <f t="shared" si="0"/>
        <v>10543330.234361349</v>
      </c>
      <c r="J13" s="124">
        <f t="shared" si="1"/>
        <v>-3.9068070564419743E-2</v>
      </c>
      <c r="K13" s="90"/>
      <c r="L13" s="319"/>
    </row>
    <row r="14" spans="1:12" x14ac:dyDescent="0.3">
      <c r="A14" s="6" t="s">
        <v>10</v>
      </c>
      <c r="B14" s="7">
        <v>11004686.433</v>
      </c>
      <c r="C14" s="7">
        <v>828649.95161987399</v>
      </c>
      <c r="D14" s="7">
        <v>-138375.40854480799</v>
      </c>
      <c r="E14" s="7">
        <v>690687.50558930298</v>
      </c>
      <c r="F14" s="7">
        <v>-1381741.55942292</v>
      </c>
      <c r="G14" s="7">
        <v>-715806.04275332706</v>
      </c>
      <c r="H14" s="7">
        <v>909039.87315048405</v>
      </c>
      <c r="I14" s="7">
        <f t="shared" si="0"/>
        <v>11197140.752638606</v>
      </c>
      <c r="J14" s="124">
        <f t="shared" si="1"/>
        <v>1.7488396494559799E-2</v>
      </c>
      <c r="K14" s="90"/>
      <c r="L14" s="319"/>
    </row>
    <row r="15" spans="1:12" x14ac:dyDescent="0.3">
      <c r="A15" s="6" t="s">
        <v>11</v>
      </c>
      <c r="B15" s="7">
        <v>20009314.278999999</v>
      </c>
      <c r="C15" s="7">
        <v>-461626.641870361</v>
      </c>
      <c r="D15" s="7">
        <v>-385843.13088357099</v>
      </c>
      <c r="E15" s="7">
        <v>1233190.3141484</v>
      </c>
      <c r="F15" s="100">
        <v>-2913775.0667234501</v>
      </c>
      <c r="G15" s="7">
        <v>-49474.577962152704</v>
      </c>
      <c r="H15" s="7">
        <v>-2335120.3009805498</v>
      </c>
      <c r="I15" s="7">
        <f t="shared" si="0"/>
        <v>15096664.874728315</v>
      </c>
      <c r="J15" s="124">
        <f t="shared" si="1"/>
        <v>-0.24551812899593295</v>
      </c>
      <c r="K15" s="90"/>
      <c r="L15" s="112"/>
    </row>
    <row r="16" spans="1:12" x14ac:dyDescent="0.3">
      <c r="A16" s="8" t="s">
        <v>27</v>
      </c>
      <c r="B16" s="9">
        <f t="shared" ref="B16:I16" si="2">SUM(B4:B15)</f>
        <v>143169222.083</v>
      </c>
      <c r="C16" s="9">
        <f t="shared" si="2"/>
        <v>417785.07969075098</v>
      </c>
      <c r="D16" s="9">
        <f t="shared" si="2"/>
        <v>649785.60536879417</v>
      </c>
      <c r="E16" s="9">
        <f t="shared" si="2"/>
        <v>7552621.57973288</v>
      </c>
      <c r="F16" s="9">
        <f t="shared" si="2"/>
        <v>-10860596.825339723</v>
      </c>
      <c r="G16" s="9">
        <f t="shared" si="2"/>
        <v>-262583.71015602356</v>
      </c>
      <c r="H16" s="9">
        <f t="shared" si="2"/>
        <v>-3237532.7116534454</v>
      </c>
      <c r="I16" s="9">
        <f t="shared" si="2"/>
        <v>137428701.10064325</v>
      </c>
      <c r="J16" s="145">
        <f t="shared" si="1"/>
        <v>-4.0096054856181174E-2</v>
      </c>
      <c r="K16" s="91"/>
      <c r="L16" s="117"/>
    </row>
    <row r="17" spans="1:12" x14ac:dyDescent="0.3">
      <c r="C17" s="89"/>
      <c r="D17" s="89"/>
      <c r="E17" s="89"/>
      <c r="F17" s="89"/>
      <c r="G17" s="89"/>
      <c r="H17" s="89"/>
      <c r="I17" s="89"/>
      <c r="L17" s="118"/>
    </row>
    <row r="18" spans="1:12" ht="28.8" outlineLevel="1" x14ac:dyDescent="0.3">
      <c r="A18" s="86"/>
      <c r="B18" s="86"/>
      <c r="C18" s="86" t="s">
        <v>21</v>
      </c>
      <c r="D18" s="86" t="s">
        <v>22</v>
      </c>
      <c r="E18" s="86" t="s">
        <v>23</v>
      </c>
      <c r="F18" s="86" t="s">
        <v>24</v>
      </c>
      <c r="G18" s="86" t="s">
        <v>25</v>
      </c>
      <c r="H18" s="86" t="s">
        <v>62</v>
      </c>
      <c r="I18" s="86" t="s">
        <v>65</v>
      </c>
    </row>
    <row r="19" spans="1:12" outlineLevel="1" x14ac:dyDescent="0.3">
      <c r="A19" s="307" t="str">
        <f>"Dif. FY " &amp; A2 &amp; " vs " &amp; A22</f>
        <v>Dif. FY w47 vs w43</v>
      </c>
      <c r="B19" s="308"/>
      <c r="C19" s="87">
        <f>C16-C36</f>
        <v>-18767.825532487885</v>
      </c>
      <c r="D19" s="87">
        <f t="shared" ref="D19:I19" si="3">D16-D36</f>
        <v>-927175.13888355251</v>
      </c>
      <c r="E19" s="87">
        <f t="shared" si="3"/>
        <v>-4659.6620668917894</v>
      </c>
      <c r="F19" s="87">
        <f t="shared" si="3"/>
        <v>87923.111748173833</v>
      </c>
      <c r="G19" s="87">
        <f t="shared" si="3"/>
        <v>-231077.01194106374</v>
      </c>
      <c r="H19" s="87">
        <f t="shared" si="3"/>
        <v>376.24428101675585</v>
      </c>
      <c r="I19" s="87">
        <f t="shared" si="3"/>
        <v>-1093380.2823947966</v>
      </c>
    </row>
    <row r="20" spans="1:12" x14ac:dyDescent="0.3">
      <c r="A20" s="307" t="str">
        <f>"Var. FY " &amp; A3 &amp; " vs " &amp; A23</f>
        <v>Var. FY Mes vs Mes</v>
      </c>
      <c r="B20" s="308"/>
      <c r="C20" s="121">
        <f>(C16-C36)/ABS(C36)</f>
        <v>-4.299095323369944E-2</v>
      </c>
      <c r="D20" s="121">
        <f t="shared" ref="D20:I20" si="4">(D16-D36)/ABS(D36)</f>
        <v>-0.58795067807673029</v>
      </c>
      <c r="E20" s="121">
        <f t="shared" si="4"/>
        <v>-6.1657915297884131E-4</v>
      </c>
      <c r="F20" s="121">
        <f t="shared" si="4"/>
        <v>8.0305933818813277E-3</v>
      </c>
      <c r="G20" s="121">
        <f t="shared" si="4"/>
        <v>-7.3342185958205244</v>
      </c>
      <c r="H20" s="121">
        <f t="shared" si="4"/>
        <v>1.16199771561573E-4</v>
      </c>
      <c r="I20" s="181">
        <f t="shared" si="4"/>
        <v>-7.8931840431375466E-3</v>
      </c>
    </row>
    <row r="21" spans="1:12" x14ac:dyDescent="0.3">
      <c r="C21" s="89"/>
      <c r="D21" s="89"/>
      <c r="E21" s="89"/>
      <c r="F21" s="89"/>
      <c r="G21" s="89"/>
      <c r="H21" s="89"/>
    </row>
    <row r="22" spans="1:12" x14ac:dyDescent="0.3">
      <c r="A22" s="306" t="str">
        <f>'Andina DT'!A22:J22</f>
        <v>w43</v>
      </c>
      <c r="B22" s="306"/>
      <c r="C22" s="306"/>
      <c r="D22" s="306"/>
      <c r="E22" s="306"/>
      <c r="F22" s="306"/>
      <c r="G22" s="306"/>
      <c r="H22" s="306"/>
      <c r="I22" s="306"/>
      <c r="J22" s="310" t="s">
        <v>66</v>
      </c>
    </row>
    <row r="23" spans="1:12" ht="28.8" x14ac:dyDescent="0.3">
      <c r="A23" s="5" t="s">
        <v>34</v>
      </c>
      <c r="B23" s="5" t="s">
        <v>26</v>
      </c>
      <c r="C23" s="40" t="s">
        <v>21</v>
      </c>
      <c r="D23" s="40" t="s">
        <v>22</v>
      </c>
      <c r="E23" s="40" t="s">
        <v>23</v>
      </c>
      <c r="F23" s="40" t="s">
        <v>24</v>
      </c>
      <c r="G23" s="40" t="s">
        <v>25</v>
      </c>
      <c r="H23" s="5" t="s">
        <v>62</v>
      </c>
      <c r="I23" s="5" t="s">
        <v>65</v>
      </c>
      <c r="J23" s="311"/>
      <c r="L23" s="130" t="str">
        <f>"Comentarios "&amp;A22</f>
        <v>Comentarios w43</v>
      </c>
    </row>
    <row r="24" spans="1:12" ht="15" customHeight="1" x14ac:dyDescent="0.3">
      <c r="A24" s="6" t="s">
        <v>0</v>
      </c>
      <c r="B24" s="7">
        <v>10608186.782</v>
      </c>
      <c r="C24" s="7">
        <v>-125312.782398667</v>
      </c>
      <c r="D24" s="7">
        <v>649766.87683649396</v>
      </c>
      <c r="E24" s="7">
        <v>412977.73729630001</v>
      </c>
      <c r="F24" s="7">
        <v>-712135.18815498601</v>
      </c>
      <c r="G24" s="7">
        <v>183076.122369691</v>
      </c>
      <c r="H24" s="7">
        <v>-697148.61614880699</v>
      </c>
      <c r="I24" s="7">
        <f t="shared" ref="I24:I35" si="5">SUM(B24:H24)</f>
        <v>10319410.931800025</v>
      </c>
      <c r="J24" s="123">
        <f t="shared" ref="J24:J36" si="6">I24/B24-1</f>
        <v>-2.7221980168182114E-2</v>
      </c>
      <c r="L24" s="115"/>
    </row>
    <row r="25" spans="1:12" x14ac:dyDescent="0.3">
      <c r="A25" s="6" t="s">
        <v>1</v>
      </c>
      <c r="B25" s="7">
        <v>11161182.374</v>
      </c>
      <c r="C25" s="7">
        <v>0</v>
      </c>
      <c r="D25" s="7">
        <v>482624.38382408302</v>
      </c>
      <c r="E25" s="7">
        <v>579168.80724900402</v>
      </c>
      <c r="F25" s="7">
        <v>-659156.40241416602</v>
      </c>
      <c r="G25" s="7">
        <v>-74463.650702155603</v>
      </c>
      <c r="H25" s="7">
        <v>475758.80604328302</v>
      </c>
      <c r="I25" s="7">
        <f t="shared" si="5"/>
        <v>11965114.318000047</v>
      </c>
      <c r="J25" s="124">
        <f t="shared" si="6"/>
        <v>7.2029281223179975E-2</v>
      </c>
      <c r="L25" s="115"/>
    </row>
    <row r="26" spans="1:12" x14ac:dyDescent="0.3">
      <c r="A26" s="6" t="s">
        <v>2</v>
      </c>
      <c r="B26" s="7">
        <v>13504848.627</v>
      </c>
      <c r="C26" s="7">
        <v>-503811.09461267502</v>
      </c>
      <c r="D26" s="7">
        <v>558353.40813868202</v>
      </c>
      <c r="E26" s="7">
        <v>789075.94087472395</v>
      </c>
      <c r="F26" s="7">
        <v>-576262.32471457601</v>
      </c>
      <c r="G26" s="7">
        <v>635739.98211397405</v>
      </c>
      <c r="H26" s="7">
        <v>65574.194591600506</v>
      </c>
      <c r="I26" s="7">
        <f t="shared" si="5"/>
        <v>14473518.733391728</v>
      </c>
      <c r="J26" s="124">
        <f t="shared" si="6"/>
        <v>7.1727579712006717E-2</v>
      </c>
      <c r="L26" s="115"/>
    </row>
    <row r="27" spans="1:12" x14ac:dyDescent="0.3">
      <c r="A27" s="6" t="s">
        <v>3</v>
      </c>
      <c r="B27" s="7">
        <v>10536213.152000001</v>
      </c>
      <c r="C27" s="100">
        <v>-318609.36743038701</v>
      </c>
      <c r="D27" s="7">
        <v>312614.27434754901</v>
      </c>
      <c r="E27" s="7">
        <v>691978.46554053901</v>
      </c>
      <c r="F27" s="7">
        <v>-63650.9155031505</v>
      </c>
      <c r="G27" s="7">
        <v>-324916.13055853802</v>
      </c>
      <c r="H27" s="7">
        <v>-704577.83801861096</v>
      </c>
      <c r="I27" s="7">
        <f t="shared" si="5"/>
        <v>10129051.640377404</v>
      </c>
      <c r="J27" s="124">
        <f t="shared" si="6"/>
        <v>-3.8644008596704249E-2</v>
      </c>
      <c r="L27" s="115"/>
    </row>
    <row r="28" spans="1:12" x14ac:dyDescent="0.3">
      <c r="A28" s="6" t="s">
        <v>4</v>
      </c>
      <c r="B28" s="7">
        <v>9937199.8699999992</v>
      </c>
      <c r="C28" s="7">
        <v>318765.94746320002</v>
      </c>
      <c r="D28" s="7">
        <v>122852.988336137</v>
      </c>
      <c r="E28" s="7">
        <v>516653.70156981098</v>
      </c>
      <c r="F28" s="7">
        <v>-710174.19744432601</v>
      </c>
      <c r="G28" s="7">
        <v>70307.318630278402</v>
      </c>
      <c r="H28" s="7">
        <v>-47452.406821879697</v>
      </c>
      <c r="I28" s="7">
        <f t="shared" si="5"/>
        <v>10208153.221733218</v>
      </c>
      <c r="J28" s="124">
        <f t="shared" si="6"/>
        <v>2.7266569584779798E-2</v>
      </c>
      <c r="L28" s="115"/>
    </row>
    <row r="29" spans="1:12" x14ac:dyDescent="0.3">
      <c r="A29" s="6" t="s">
        <v>5</v>
      </c>
      <c r="B29" s="7">
        <v>12028981.926000001</v>
      </c>
      <c r="C29" s="7">
        <v>237877.87152998199</v>
      </c>
      <c r="D29" s="7">
        <v>-81372.461113021796</v>
      </c>
      <c r="E29" s="7">
        <v>556766.36198760697</v>
      </c>
      <c r="F29" s="7">
        <v>-815115.00988942105</v>
      </c>
      <c r="G29" s="7">
        <v>-125177.24194222801</v>
      </c>
      <c r="H29" s="7">
        <v>-211989.889849759</v>
      </c>
      <c r="I29" s="7">
        <f t="shared" si="5"/>
        <v>11589971.556723157</v>
      </c>
      <c r="J29" s="124">
        <f t="shared" si="6"/>
        <v>-3.6496053612645851E-2</v>
      </c>
      <c r="L29" s="115"/>
    </row>
    <row r="30" spans="1:12" x14ac:dyDescent="0.3">
      <c r="A30" s="6" t="s">
        <v>6</v>
      </c>
      <c r="B30" s="7">
        <v>10003488.717</v>
      </c>
      <c r="C30" s="7">
        <v>0</v>
      </c>
      <c r="D30" s="7">
        <v>-355519.34881901997</v>
      </c>
      <c r="E30" s="7">
        <v>350740.31821732898</v>
      </c>
      <c r="F30" s="7">
        <v>-489243.30606118502</v>
      </c>
      <c r="G30" s="7">
        <v>-100199.801539846</v>
      </c>
      <c r="H30" s="7">
        <v>-415725.117672236</v>
      </c>
      <c r="I30" s="7">
        <f t="shared" si="5"/>
        <v>8993541.4611250423</v>
      </c>
      <c r="J30" s="124">
        <f t="shared" si="6"/>
        <v>-0.1009595036738179</v>
      </c>
      <c r="L30" s="115"/>
    </row>
    <row r="31" spans="1:12" x14ac:dyDescent="0.3">
      <c r="A31" s="6" t="s">
        <v>7</v>
      </c>
      <c r="B31" s="7">
        <v>9783148.0449999999</v>
      </c>
      <c r="C31" s="7">
        <v>0</v>
      </c>
      <c r="D31" s="7">
        <v>-33687.566691251901</v>
      </c>
      <c r="E31" s="7">
        <v>398695.26813114999</v>
      </c>
      <c r="F31" s="7">
        <v>-688448.898206332</v>
      </c>
      <c r="G31" s="7">
        <v>320395.86148698599</v>
      </c>
      <c r="H31" s="7">
        <v>189482.13394852399</v>
      </c>
      <c r="I31" s="7">
        <f t="shared" si="5"/>
        <v>9969584.8436690755</v>
      </c>
      <c r="J31" s="124">
        <f t="shared" si="6"/>
        <v>1.9056933188735803E-2</v>
      </c>
      <c r="L31" s="115"/>
    </row>
    <row r="32" spans="1:12" x14ac:dyDescent="0.3">
      <c r="A32" s="6" t="s">
        <v>8</v>
      </c>
      <c r="B32" s="7">
        <v>13619987.379000001</v>
      </c>
      <c r="C32" s="7">
        <v>441760.72689762397</v>
      </c>
      <c r="D32" s="7">
        <v>-148227.861168476</v>
      </c>
      <c r="E32" s="7">
        <v>707211.90005195595</v>
      </c>
      <c r="F32" s="7">
        <v>-788208.00132713502</v>
      </c>
      <c r="G32" s="7">
        <v>-251433.919057188</v>
      </c>
      <c r="H32" s="7">
        <v>-650890.60239856504</v>
      </c>
      <c r="I32" s="7">
        <f t="shared" si="5"/>
        <v>12930199.621998215</v>
      </c>
      <c r="J32" s="124">
        <f t="shared" si="6"/>
        <v>-5.0645256695709961E-2</v>
      </c>
      <c r="L32" s="115"/>
    </row>
    <row r="33" spans="1:12" x14ac:dyDescent="0.3">
      <c r="A33" s="6" t="s">
        <v>9</v>
      </c>
      <c r="B33" s="7">
        <v>10971984.499</v>
      </c>
      <c r="C33" s="7">
        <v>0</v>
      </c>
      <c r="D33" s="7">
        <v>-146011.55617870501</v>
      </c>
      <c r="E33" s="7">
        <v>610749.54297837603</v>
      </c>
      <c r="F33" s="7">
        <v>-1070869.8410140299</v>
      </c>
      <c r="G33" s="7">
        <v>123179.275052925</v>
      </c>
      <c r="H33" s="7">
        <v>187978.201230615</v>
      </c>
      <c r="I33" s="7">
        <f t="shared" si="5"/>
        <v>10677010.121069182</v>
      </c>
      <c r="J33" s="124">
        <f t="shared" si="6"/>
        <v>-2.6884323246875064E-2</v>
      </c>
      <c r="L33" s="115"/>
    </row>
    <row r="34" spans="1:12" x14ac:dyDescent="0.3">
      <c r="A34" s="6" t="s">
        <v>10</v>
      </c>
      <c r="B34" s="7">
        <v>11004686.433</v>
      </c>
      <c r="C34" s="7">
        <v>850325.82110542699</v>
      </c>
      <c r="D34" s="7">
        <v>156001.471349425</v>
      </c>
      <c r="E34" s="7">
        <v>704724.71449117502</v>
      </c>
      <c r="F34" s="7">
        <v>-1423451.4524069999</v>
      </c>
      <c r="G34" s="7">
        <v>-402763.54875187902</v>
      </c>
      <c r="H34" s="7">
        <v>938126.22252135305</v>
      </c>
      <c r="I34" s="7">
        <f t="shared" si="5"/>
        <v>11827649.661308501</v>
      </c>
      <c r="J34" s="124">
        <f t="shared" si="6"/>
        <v>7.4782978444589032E-2</v>
      </c>
      <c r="L34" s="115"/>
    </row>
    <row r="35" spans="1:12" x14ac:dyDescent="0.3">
      <c r="A35" s="6" t="s">
        <v>11</v>
      </c>
      <c r="B35" s="7">
        <v>20009314.278999999</v>
      </c>
      <c r="C35" s="7">
        <v>-464444.21733126498</v>
      </c>
      <c r="D35" s="7">
        <v>59566.135390451404</v>
      </c>
      <c r="E35" s="7">
        <v>1238538.4834118001</v>
      </c>
      <c r="F35" s="100">
        <v>-2951804.3999515902</v>
      </c>
      <c r="G35" s="7">
        <v>-85250.965316979695</v>
      </c>
      <c r="H35" s="7">
        <v>-2367044.04335998</v>
      </c>
      <c r="I35" s="7">
        <f t="shared" si="5"/>
        <v>15438875.271842435</v>
      </c>
      <c r="J35" s="124">
        <f t="shared" si="6"/>
        <v>-0.2284155740386512</v>
      </c>
      <c r="L35" s="115"/>
    </row>
    <row r="36" spans="1:12" x14ac:dyDescent="0.3">
      <c r="A36" s="8" t="s">
        <v>27</v>
      </c>
      <c r="B36" s="9">
        <f>SUM(B24:B35)</f>
        <v>143169222.083</v>
      </c>
      <c r="C36" s="9">
        <f t="shared" ref="C36:I36" si="7">SUM(C24:C35)</f>
        <v>436552.90522323886</v>
      </c>
      <c r="D36" s="9">
        <f t="shared" si="7"/>
        <v>1576960.7442523467</v>
      </c>
      <c r="E36" s="9">
        <f t="shared" si="7"/>
        <v>7557281.2417997718</v>
      </c>
      <c r="F36" s="9">
        <f t="shared" si="7"/>
        <v>-10948519.937087897</v>
      </c>
      <c r="G36" s="9">
        <f t="shared" si="7"/>
        <v>-31506.698214959833</v>
      </c>
      <c r="H36" s="9">
        <f t="shared" si="7"/>
        <v>-3237908.9559344621</v>
      </c>
      <c r="I36" s="9">
        <f t="shared" si="7"/>
        <v>138522081.38303804</v>
      </c>
      <c r="J36" s="145">
        <f t="shared" si="6"/>
        <v>-3.2459076275960008E-2</v>
      </c>
      <c r="L36" s="115"/>
    </row>
  </sheetData>
  <mergeCells count="11">
    <mergeCell ref="B1:I1"/>
    <mergeCell ref="A19:B19"/>
    <mergeCell ref="A22:I22"/>
    <mergeCell ref="A2:I2"/>
    <mergeCell ref="L4:L6"/>
    <mergeCell ref="L7:L8"/>
    <mergeCell ref="L9:L11"/>
    <mergeCell ref="L12:L14"/>
    <mergeCell ref="A20:B20"/>
    <mergeCell ref="J2:J3"/>
    <mergeCell ref="J22:J23"/>
  </mergeCells>
  <hyperlinks>
    <hyperlink ref="C23" location="'Femsa Support'!B25" display="Calendar" xr:uid="{00000000-0004-0000-0600-000000000000}"/>
    <hyperlink ref="D23" location="'Femsa Support'!N25" display="Economy" xr:uid="{00000000-0004-0000-0600-000001000000}"/>
    <hyperlink ref="E23" location="'Femsa Support'!V25" display="Affordability" xr:uid="{00000000-0004-0000-0600-000002000000}"/>
    <hyperlink ref="F23" location="'Femsa Support'!AH25" display="Competitiveness" xr:uid="{00000000-0004-0000-0600-000003000000}"/>
    <hyperlink ref="G23" location="'Femsa Support'!AL25" display="Weather" xr:uid="{00000000-0004-0000-0600-000004000000}"/>
    <hyperlink ref="C3" location="'Femsa Support'!B8" display="Calendar" xr:uid="{00000000-0004-0000-0600-000005000000}"/>
    <hyperlink ref="D3" location="'Femsa Support'!N8" display="Economy" xr:uid="{00000000-0004-0000-0600-000006000000}"/>
    <hyperlink ref="E3" location="'Femsa Support'!V8" display="Affordability" xr:uid="{00000000-0004-0000-0600-000007000000}"/>
    <hyperlink ref="F3" location="'Femsa Support'!AH8" display="Competitiveness" xr:uid="{00000000-0004-0000-0600-000008000000}"/>
    <hyperlink ref="G3" location="'Femsa Support'!AL8" display="Weather" xr:uid="{00000000-0004-0000-0600-000009000000}"/>
  </hyperlinks>
  <pageMargins left="0.7" right="0.7" top="0.75" bottom="0.75" header="0.3" footer="0.3"/>
  <pageSetup orientation="portrait" r:id="rId1"/>
  <headerFooter>
    <oddFooter>&amp;C&amp;1#&amp;"Calibri"&amp;10&amp;K000000Classified - Confidential</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O40"/>
  <sheetViews>
    <sheetView showGridLines="0" zoomScale="70" zoomScaleNormal="70" workbookViewId="0">
      <pane xSplit="1" ySplit="5" topLeftCell="B6" activePane="bottomRight" state="frozen"/>
      <selection pane="topRight"/>
      <selection pane="bottomLeft"/>
      <selection pane="bottomRight" activeCell="Z8" sqref="Z8:AC8"/>
    </sheetView>
  </sheetViews>
  <sheetFormatPr baseColWidth="10" defaultColWidth="11.5546875" defaultRowHeight="14.4" x14ac:dyDescent="0.3"/>
  <cols>
    <col min="1" max="1" width="31.109375" bestFit="1" customWidth="1"/>
    <col min="2" max="2" width="11.5546875" style="250" customWidth="1"/>
    <col min="3" max="5" width="11.5546875" style="250"/>
    <col min="26" max="41" width="11.5546875" customWidth="1"/>
  </cols>
  <sheetData>
    <row r="1" spans="1:41" ht="30.75" customHeight="1" x14ac:dyDescent="0.3">
      <c r="B1" s="315" t="s">
        <v>69</v>
      </c>
      <c r="C1" s="315"/>
      <c r="D1" s="315"/>
      <c r="E1" s="315"/>
      <c r="F1" s="315" t="s">
        <v>80</v>
      </c>
      <c r="G1" s="315"/>
      <c r="H1" s="315"/>
      <c r="I1" s="315"/>
      <c r="J1" s="318" t="s">
        <v>57</v>
      </c>
      <c r="K1" s="318"/>
      <c r="L1" s="318"/>
      <c r="M1" s="318"/>
      <c r="N1" s="315" t="s">
        <v>75</v>
      </c>
      <c r="O1" s="315"/>
      <c r="P1" s="315"/>
      <c r="Q1" s="315"/>
      <c r="R1" s="316" t="s">
        <v>37</v>
      </c>
      <c r="S1" s="316"/>
      <c r="T1" s="316"/>
      <c r="U1" s="316"/>
      <c r="V1" s="315" t="s">
        <v>114</v>
      </c>
      <c r="W1" s="315"/>
      <c r="X1" s="315"/>
      <c r="Y1" s="315"/>
      <c r="Z1" s="316" t="s">
        <v>112</v>
      </c>
      <c r="AA1" s="316"/>
      <c r="AB1" s="316"/>
      <c r="AC1" s="316"/>
      <c r="AD1" s="316" t="s">
        <v>70</v>
      </c>
      <c r="AE1" s="316"/>
      <c r="AF1" s="316"/>
      <c r="AG1" s="316"/>
      <c r="AH1" s="315" t="s">
        <v>76</v>
      </c>
      <c r="AI1" s="315"/>
      <c r="AJ1" s="315"/>
      <c r="AK1" s="315"/>
      <c r="AL1" s="315" t="s">
        <v>32</v>
      </c>
      <c r="AM1" s="315"/>
      <c r="AN1" s="315"/>
      <c r="AO1" s="315"/>
    </row>
    <row r="2" spans="1:41" x14ac:dyDescent="0.3">
      <c r="A2" s="38" t="s">
        <v>29</v>
      </c>
      <c r="B2" s="315"/>
      <c r="C2" s="315"/>
      <c r="D2" s="315"/>
      <c r="E2" s="315"/>
      <c r="F2" s="315"/>
      <c r="G2" s="315"/>
      <c r="H2" s="315"/>
      <c r="I2" s="315"/>
      <c r="J2" s="318"/>
      <c r="K2" s="318"/>
      <c r="L2" s="318"/>
      <c r="M2" s="318"/>
      <c r="N2" s="315"/>
      <c r="O2" s="315"/>
      <c r="P2" s="315"/>
      <c r="Q2" s="315"/>
      <c r="R2" s="316"/>
      <c r="S2" s="316"/>
      <c r="T2" s="316"/>
      <c r="U2" s="316"/>
      <c r="V2" s="315"/>
      <c r="W2" s="315"/>
      <c r="X2" s="315"/>
      <c r="Y2" s="315"/>
      <c r="Z2" s="316"/>
      <c r="AA2" s="316"/>
      <c r="AB2" s="316"/>
      <c r="AC2" s="316"/>
      <c r="AD2" s="316"/>
      <c r="AE2" s="316"/>
      <c r="AF2" s="316"/>
      <c r="AG2" s="316"/>
      <c r="AH2" s="315"/>
      <c r="AI2" s="315"/>
      <c r="AJ2" s="315"/>
      <c r="AK2" s="315"/>
      <c r="AL2" s="315"/>
      <c r="AM2" s="315"/>
      <c r="AN2" s="315"/>
      <c r="AO2" s="315"/>
    </row>
    <row r="3" spans="1:41" x14ac:dyDescent="0.3">
      <c r="A3" s="32" t="s">
        <v>30</v>
      </c>
      <c r="B3" s="315"/>
      <c r="C3" s="315"/>
      <c r="D3" s="315"/>
      <c r="E3" s="315"/>
      <c r="F3" s="315"/>
      <c r="G3" s="315"/>
      <c r="H3" s="315"/>
      <c r="I3" s="315"/>
      <c r="J3" s="318"/>
      <c r="K3" s="318"/>
      <c r="L3" s="318"/>
      <c r="M3" s="318"/>
      <c r="N3" s="315"/>
      <c r="O3" s="315"/>
      <c r="P3" s="315"/>
      <c r="Q3" s="315"/>
      <c r="R3" s="316"/>
      <c r="S3" s="316"/>
      <c r="T3" s="316"/>
      <c r="U3" s="316"/>
      <c r="V3" s="315"/>
      <c r="W3" s="315"/>
      <c r="X3" s="315"/>
      <c r="Y3" s="315"/>
      <c r="Z3" s="316"/>
      <c r="AA3" s="316"/>
      <c r="AB3" s="316"/>
      <c r="AC3" s="316"/>
      <c r="AD3" s="316"/>
      <c r="AE3" s="316"/>
      <c r="AF3" s="316"/>
      <c r="AG3" s="316"/>
      <c r="AH3" s="315"/>
      <c r="AI3" s="315"/>
      <c r="AJ3" s="315"/>
      <c r="AK3" s="315"/>
      <c r="AL3" s="315"/>
      <c r="AM3" s="315"/>
      <c r="AN3" s="315"/>
      <c r="AO3" s="315"/>
    </row>
    <row r="4" spans="1:41" ht="14.25" customHeight="1" x14ac:dyDescent="0.3">
      <c r="A4" s="85" t="s">
        <v>42</v>
      </c>
      <c r="B4" s="315"/>
      <c r="C4" s="315"/>
      <c r="D4" s="315"/>
      <c r="E4" s="315"/>
      <c r="F4" s="315"/>
      <c r="G4" s="315"/>
      <c r="H4" s="315"/>
      <c r="I4" s="315"/>
      <c r="J4" s="318"/>
      <c r="K4" s="318"/>
      <c r="L4" s="318"/>
      <c r="M4" s="318"/>
      <c r="N4" s="315"/>
      <c r="O4" s="315"/>
      <c r="P4" s="315"/>
      <c r="Q4" s="315"/>
      <c r="R4" s="316"/>
      <c r="S4" s="316"/>
      <c r="T4" s="316"/>
      <c r="U4" s="316"/>
      <c r="V4" s="315"/>
      <c r="W4" s="315"/>
      <c r="X4" s="315"/>
      <c r="Y4" s="315"/>
      <c r="Z4" s="316"/>
      <c r="AA4" s="316"/>
      <c r="AB4" s="316"/>
      <c r="AC4" s="316"/>
      <c r="AD4" s="316"/>
      <c r="AE4" s="316"/>
      <c r="AF4" s="316"/>
      <c r="AG4" s="316"/>
      <c r="AH4" s="315"/>
      <c r="AI4" s="315"/>
      <c r="AJ4" s="315"/>
      <c r="AK4" s="315"/>
      <c r="AL4" s="315"/>
      <c r="AM4" s="315"/>
      <c r="AN4" s="315"/>
      <c r="AO4" s="315"/>
    </row>
    <row r="5" spans="1:41" s="3" customFormat="1" ht="14.25" customHeight="1" x14ac:dyDescent="0.3">
      <c r="A5" s="82" t="s">
        <v>56</v>
      </c>
      <c r="B5" s="315"/>
      <c r="C5" s="315"/>
      <c r="D5" s="315"/>
      <c r="E5" s="315"/>
      <c r="F5" s="315"/>
      <c r="G5" s="315"/>
      <c r="H5" s="315"/>
      <c r="I5" s="315"/>
      <c r="J5" s="318"/>
      <c r="K5" s="318"/>
      <c r="L5" s="318"/>
      <c r="M5" s="318"/>
      <c r="N5" s="315"/>
      <c r="O5" s="315"/>
      <c r="P5" s="315"/>
      <c r="Q5" s="315"/>
      <c r="R5" s="316"/>
      <c r="S5" s="316"/>
      <c r="T5" s="316"/>
      <c r="U5" s="316"/>
      <c r="V5" s="315"/>
      <c r="W5" s="315"/>
      <c r="X5" s="315"/>
      <c r="Y5" s="315"/>
      <c r="Z5" s="316"/>
      <c r="AA5" s="316"/>
      <c r="AB5" s="316"/>
      <c r="AC5" s="316"/>
      <c r="AD5" s="316"/>
      <c r="AE5" s="316"/>
      <c r="AF5" s="316"/>
      <c r="AG5" s="316"/>
      <c r="AH5" s="315"/>
      <c r="AI5" s="315"/>
      <c r="AJ5" s="315"/>
      <c r="AK5" s="315"/>
      <c r="AL5" s="315"/>
      <c r="AM5" s="315"/>
      <c r="AN5" s="315"/>
      <c r="AO5" s="315"/>
    </row>
    <row r="6" spans="1:41" ht="15" thickBot="1" x14ac:dyDescent="0.35">
      <c r="A6" s="39" t="str">
        <f>"Femsa - "&amp;'Femsa DT'!A2:I2</f>
        <v>Femsa - w47</v>
      </c>
      <c r="B6" s="22"/>
      <c r="C6" s="22"/>
      <c r="D6" s="22"/>
      <c r="E6" s="33"/>
      <c r="F6" s="33"/>
      <c r="G6" s="33"/>
      <c r="J6" s="33"/>
      <c r="K6" s="33"/>
      <c r="N6" s="29"/>
      <c r="O6" s="29"/>
    </row>
    <row r="7" spans="1:41" ht="15" thickBot="1" x14ac:dyDescent="0.35">
      <c r="A7" s="30"/>
      <c r="B7" s="312" t="s">
        <v>21</v>
      </c>
      <c r="C7" s="313"/>
      <c r="D7" s="313"/>
      <c r="E7" s="313"/>
      <c r="F7" s="313"/>
      <c r="G7" s="313"/>
      <c r="H7" s="313"/>
      <c r="I7" s="313"/>
      <c r="J7" s="313"/>
      <c r="K7" s="313"/>
      <c r="L7" s="313"/>
      <c r="M7" s="314"/>
      <c r="N7" s="312" t="s">
        <v>22</v>
      </c>
      <c r="O7" s="313"/>
      <c r="P7" s="313"/>
      <c r="Q7" s="314"/>
      <c r="R7" s="312" t="s">
        <v>41</v>
      </c>
      <c r="S7" s="313"/>
      <c r="T7" s="313"/>
      <c r="U7" s="314"/>
      <c r="V7" s="312" t="s">
        <v>23</v>
      </c>
      <c r="W7" s="313"/>
      <c r="X7" s="313"/>
      <c r="Y7" s="314"/>
      <c r="Z7" s="312" t="s">
        <v>40</v>
      </c>
      <c r="AA7" s="313"/>
      <c r="AB7" s="313"/>
      <c r="AC7" s="313"/>
      <c r="AD7" s="313"/>
      <c r="AE7" s="313"/>
      <c r="AF7" s="313"/>
      <c r="AG7" s="314"/>
      <c r="AH7" s="312" t="s">
        <v>24</v>
      </c>
      <c r="AI7" s="313"/>
      <c r="AJ7" s="313"/>
      <c r="AK7" s="314"/>
      <c r="AL7" s="312" t="s">
        <v>25</v>
      </c>
      <c r="AM7" s="313"/>
      <c r="AN7" s="313"/>
      <c r="AO7" s="314"/>
    </row>
    <row r="8" spans="1:41" ht="15" thickBot="1" x14ac:dyDescent="0.35">
      <c r="A8" s="2"/>
      <c r="B8" s="312" t="s">
        <v>68</v>
      </c>
      <c r="C8" s="313"/>
      <c r="D8" s="313"/>
      <c r="E8" s="314"/>
      <c r="F8" s="312" t="s">
        <v>81</v>
      </c>
      <c r="G8" s="313"/>
      <c r="H8" s="313"/>
      <c r="I8" s="314"/>
      <c r="J8" s="312" t="s">
        <v>57</v>
      </c>
      <c r="K8" s="313"/>
      <c r="L8" s="313"/>
      <c r="M8" s="314"/>
      <c r="N8" s="312" t="s">
        <v>20</v>
      </c>
      <c r="O8" s="313"/>
      <c r="P8" s="313"/>
      <c r="Q8" s="314"/>
      <c r="R8" s="312" t="s">
        <v>35</v>
      </c>
      <c r="S8" s="313"/>
      <c r="T8" s="313"/>
      <c r="U8" s="314"/>
      <c r="V8" s="312" t="s">
        <v>113</v>
      </c>
      <c r="W8" s="313"/>
      <c r="X8" s="313"/>
      <c r="Y8" s="314"/>
      <c r="Z8" s="312" t="s">
        <v>84</v>
      </c>
      <c r="AA8" s="313"/>
      <c r="AB8" s="313"/>
      <c r="AC8" s="314"/>
      <c r="AD8" s="312" t="s">
        <v>18</v>
      </c>
      <c r="AE8" s="313"/>
      <c r="AF8" s="313"/>
      <c r="AG8" s="314"/>
      <c r="AH8" s="312" t="s">
        <v>73</v>
      </c>
      <c r="AI8" s="313"/>
      <c r="AJ8" s="313"/>
      <c r="AK8" s="314"/>
      <c r="AL8" s="312" t="s">
        <v>16</v>
      </c>
      <c r="AM8" s="313"/>
      <c r="AN8" s="313"/>
      <c r="AO8" s="314"/>
    </row>
    <row r="9" spans="1:41" x14ac:dyDescent="0.3">
      <c r="A9" s="1"/>
      <c r="B9" s="12">
        <v>2020</v>
      </c>
      <c r="C9" s="13">
        <v>2021</v>
      </c>
      <c r="D9" s="13" t="s">
        <v>12</v>
      </c>
      <c r="E9" s="14" t="s">
        <v>13</v>
      </c>
      <c r="F9" s="12">
        <v>2020</v>
      </c>
      <c r="G9" s="13">
        <v>2021</v>
      </c>
      <c r="H9" s="13" t="s">
        <v>12</v>
      </c>
      <c r="I9" s="14" t="s">
        <v>13</v>
      </c>
      <c r="J9" s="44">
        <v>2020</v>
      </c>
      <c r="K9" s="45">
        <v>2021</v>
      </c>
      <c r="L9" s="45" t="s">
        <v>12</v>
      </c>
      <c r="M9" s="46" t="s">
        <v>13</v>
      </c>
      <c r="N9" s="12">
        <v>2020</v>
      </c>
      <c r="O9" s="13">
        <v>2021</v>
      </c>
      <c r="P9" s="13" t="s">
        <v>12</v>
      </c>
      <c r="Q9" s="14" t="s">
        <v>13</v>
      </c>
      <c r="R9" s="44">
        <v>2020</v>
      </c>
      <c r="S9" s="45">
        <v>2021</v>
      </c>
      <c r="T9" s="45" t="s">
        <v>12</v>
      </c>
      <c r="U9" s="46" t="s">
        <v>13</v>
      </c>
      <c r="V9" s="12">
        <v>2020</v>
      </c>
      <c r="W9" s="13">
        <v>2021</v>
      </c>
      <c r="X9" s="13" t="s">
        <v>12</v>
      </c>
      <c r="Y9" s="14" t="s">
        <v>13</v>
      </c>
      <c r="Z9" s="44">
        <v>2020</v>
      </c>
      <c r="AA9" s="45">
        <v>2021</v>
      </c>
      <c r="AB9" s="45" t="s">
        <v>12</v>
      </c>
      <c r="AC9" s="46" t="s">
        <v>13</v>
      </c>
      <c r="AD9" s="44">
        <v>2020</v>
      </c>
      <c r="AE9" s="45">
        <v>2021</v>
      </c>
      <c r="AF9" s="45" t="s">
        <v>12</v>
      </c>
      <c r="AG9" s="46" t="s">
        <v>13</v>
      </c>
      <c r="AH9" s="12">
        <v>2020</v>
      </c>
      <c r="AI9" s="13">
        <v>2021</v>
      </c>
      <c r="AJ9" s="13" t="s">
        <v>12</v>
      </c>
      <c r="AK9" s="14" t="s">
        <v>13</v>
      </c>
      <c r="AL9" s="12">
        <v>2020</v>
      </c>
      <c r="AM9" s="13">
        <v>2021</v>
      </c>
      <c r="AN9" s="13" t="s">
        <v>12</v>
      </c>
      <c r="AO9" s="14" t="s">
        <v>13</v>
      </c>
    </row>
    <row r="10" spans="1:41" x14ac:dyDescent="0.3">
      <c r="A10" s="1" t="s">
        <v>0</v>
      </c>
      <c r="B10" s="23">
        <v>25</v>
      </c>
      <c r="C10" s="24">
        <v>24</v>
      </c>
      <c r="D10" s="24">
        <f>C10-B10</f>
        <v>-1</v>
      </c>
      <c r="E10" s="17">
        <f>(C10-B10)/B10</f>
        <v>-0.04</v>
      </c>
      <c r="F10" s="15">
        <v>0.83035714275000005</v>
      </c>
      <c r="G10" s="16">
        <v>0.80952380925</v>
      </c>
      <c r="H10" s="16">
        <f>G10-F10</f>
        <v>-2.0833333500000051E-2</v>
      </c>
      <c r="I10" s="17">
        <f>(G10-F10)/F10</f>
        <v>-2.50896059387213E-2</v>
      </c>
      <c r="J10" s="76">
        <v>21</v>
      </c>
      <c r="K10" s="77">
        <v>20</v>
      </c>
      <c r="L10" s="77">
        <f>K10-J10</f>
        <v>-1</v>
      </c>
      <c r="M10" s="50">
        <f>(K10-J10)/J10</f>
        <v>-4.7619047619047616E-2</v>
      </c>
      <c r="N10" s="23">
        <v>676607.80752499995</v>
      </c>
      <c r="O10" s="24">
        <v>662382.79539999994</v>
      </c>
      <c r="P10" s="24">
        <f>O10-N10</f>
        <v>-14225.012125000008</v>
      </c>
      <c r="Q10" s="17">
        <f>(O10-N10)/N10</f>
        <v>-2.1024014158267615E-2</v>
      </c>
      <c r="R10" s="47">
        <v>2.9062409093474573E-2</v>
      </c>
      <c r="S10" s="48">
        <v>2.2528949260559816E-2</v>
      </c>
      <c r="T10" s="49">
        <f>S10-R10</f>
        <v>-6.5334598329147564E-3</v>
      </c>
      <c r="U10" s="50">
        <f>(S10-R10)/R10</f>
        <v>-0.22480792324892723</v>
      </c>
      <c r="V10" s="15">
        <v>156.6838693</v>
      </c>
      <c r="W10" s="16">
        <v>146.48284720000001</v>
      </c>
      <c r="X10" s="16">
        <f>W10-V10</f>
        <v>-10.201022099999989</v>
      </c>
      <c r="Y10" s="17">
        <f>(W10-V10)/V10</f>
        <v>-6.5105758145838619E-2</v>
      </c>
      <c r="Z10" s="55">
        <v>220.06549600419601</v>
      </c>
      <c r="AA10" s="49">
        <v>311.002489630794</v>
      </c>
      <c r="AB10" s="49">
        <f t="shared" ref="AB10:AB22" si="0">AA10-Z10</f>
        <v>90.936993626597996</v>
      </c>
      <c r="AC10" s="50">
        <f t="shared" ref="AC10:AC22" si="1">(AA10-Z10)/Z10</f>
        <v>0.4132269496026042</v>
      </c>
      <c r="AD10" s="55">
        <v>1.4045191564898301</v>
      </c>
      <c r="AE10" s="49">
        <v>2.12313247312039</v>
      </c>
      <c r="AF10" s="49">
        <f>AE10-AD10</f>
        <v>0.71861331663055994</v>
      </c>
      <c r="AG10" s="50">
        <f>(AE10-AD10)/AD10</f>
        <v>0.51164365634322573</v>
      </c>
      <c r="AH10" s="15">
        <v>1.3133274260000001</v>
      </c>
      <c r="AI10" s="16">
        <v>1.35803987</v>
      </c>
      <c r="AJ10" s="16">
        <f>AI10-AH10</f>
        <v>4.4712443999999962E-2</v>
      </c>
      <c r="AK10" s="17">
        <f>(AI10-AH10)/AH10</f>
        <v>3.4045161255925799E-2</v>
      </c>
      <c r="AL10" s="15">
        <v>29.076818880000001</v>
      </c>
      <c r="AM10" s="16">
        <v>29.575972924999999</v>
      </c>
      <c r="AN10" s="16">
        <f>AM10-AL10</f>
        <v>0.49915404499999738</v>
      </c>
      <c r="AO10" s="17">
        <f>(AM10-AL10)/AL10</f>
        <v>1.7166735022149621E-2</v>
      </c>
    </row>
    <row r="11" spans="1:41" x14ac:dyDescent="0.3">
      <c r="A11" s="1" t="s">
        <v>1</v>
      </c>
      <c r="B11" s="23">
        <v>28</v>
      </c>
      <c r="C11" s="24">
        <v>28</v>
      </c>
      <c r="D11" s="24">
        <f t="shared" ref="D11:D22" si="2">C11-B11</f>
        <v>0</v>
      </c>
      <c r="E11" s="17">
        <f t="shared" ref="E11:E22" si="3">(C11-B11)/B11</f>
        <v>0</v>
      </c>
      <c r="F11" s="15">
        <v>0.85714285700000004</v>
      </c>
      <c r="G11" s="16">
        <v>0.85714285700000004</v>
      </c>
      <c r="H11" s="16">
        <f t="shared" ref="H11:H22" si="4">G11-F11</f>
        <v>0</v>
      </c>
      <c r="I11" s="17">
        <f t="shared" ref="I11:I22" si="5">(G11-F11)/F11</f>
        <v>0</v>
      </c>
      <c r="J11" s="76">
        <v>24</v>
      </c>
      <c r="K11" s="77">
        <v>24</v>
      </c>
      <c r="L11" s="77">
        <f t="shared" ref="L11:L22" si="6">K11-J11</f>
        <v>0</v>
      </c>
      <c r="M11" s="50">
        <f t="shared" ref="M11:M22" si="7">(K11-J11)/J11</f>
        <v>0</v>
      </c>
      <c r="N11" s="23">
        <v>665787.47360000003</v>
      </c>
      <c r="O11" s="24">
        <v>631271.10129999998</v>
      </c>
      <c r="P11" s="24">
        <f t="shared" ref="P11:P22" si="8">O11-N11</f>
        <v>-34516.372300000046</v>
      </c>
      <c r="Q11" s="17">
        <f t="shared" ref="Q11:Q22" si="9">(O11-N11)/N11</f>
        <v>-5.1842928364761058E-2</v>
      </c>
      <c r="R11" s="47">
        <v>3.7656221899571962E-2</v>
      </c>
      <c r="S11" s="48">
        <v>2.0136293736429556E-2</v>
      </c>
      <c r="T11" s="49">
        <f t="shared" ref="T11:T22" si="10">S11-R11</f>
        <v>-1.7519928163142406E-2</v>
      </c>
      <c r="U11" s="50">
        <f t="shared" ref="U11:U22" si="11">(S11-R11)/R11</f>
        <v>-0.46525985028098515</v>
      </c>
      <c r="V11" s="15">
        <v>159.35173710000001</v>
      </c>
      <c r="W11" s="16">
        <v>146.4460579</v>
      </c>
      <c r="X11" s="16">
        <f t="shared" ref="X11:X22" si="12">W11-V11</f>
        <v>-12.905679200000009</v>
      </c>
      <c r="Y11" s="17">
        <f t="shared" ref="Y11:Y22" si="13">(W11-V11)/V11</f>
        <v>-8.0988632034184507E-2</v>
      </c>
      <c r="Z11" s="55">
        <v>229.85550665909599</v>
      </c>
      <c r="AA11" s="49">
        <v>325.22690264209001</v>
      </c>
      <c r="AB11" s="49">
        <f t="shared" si="0"/>
        <v>95.371395982994017</v>
      </c>
      <c r="AC11" s="50">
        <f t="shared" si="1"/>
        <v>0.41491890870572673</v>
      </c>
      <c r="AD11" s="55">
        <v>1.44244117371506</v>
      </c>
      <c r="AE11" s="49">
        <v>2.2207965668839198</v>
      </c>
      <c r="AF11" s="49">
        <f t="shared" ref="AF11:AF22" si="14">AE11-AD11</f>
        <v>0.77835539316885982</v>
      </c>
      <c r="AG11" s="50">
        <f t="shared" ref="AG11:AG22" si="15">(AE11-AD11)/AD11</f>
        <v>0.53960979993671221</v>
      </c>
      <c r="AH11" s="15">
        <v>1.358654775</v>
      </c>
      <c r="AI11" s="16">
        <v>1.3961779679999999</v>
      </c>
      <c r="AJ11" s="16">
        <f t="shared" ref="AJ11:AJ22" si="16">AI11-AH11</f>
        <v>3.7523192999999955E-2</v>
      </c>
      <c r="AK11" s="17">
        <f t="shared" ref="AK11:AK22" si="17">(AI11-AH11)/AH11</f>
        <v>2.7617900949120762E-2</v>
      </c>
      <c r="AL11" s="15">
        <v>30.695332672500001</v>
      </c>
      <c r="AM11" s="16">
        <v>30.495928785</v>
      </c>
      <c r="AN11" s="16">
        <f t="shared" ref="AN11:AN22" si="18">AM11-AL11</f>
        <v>-0.19940388750000082</v>
      </c>
      <c r="AO11" s="17">
        <f t="shared" ref="AO11:AO22" si="19">(AM11-AL11)/AL11</f>
        <v>-6.4962282581366871E-3</v>
      </c>
    </row>
    <row r="12" spans="1:41" x14ac:dyDescent="0.3">
      <c r="A12" s="1" t="s">
        <v>2</v>
      </c>
      <c r="B12" s="23">
        <v>35</v>
      </c>
      <c r="C12" s="24">
        <v>35</v>
      </c>
      <c r="D12" s="24">
        <f t="shared" si="2"/>
        <v>0</v>
      </c>
      <c r="E12" s="17">
        <f t="shared" si="3"/>
        <v>0</v>
      </c>
      <c r="F12" s="15">
        <v>0.77142857119999997</v>
      </c>
      <c r="G12" s="16">
        <v>0.74285714260000002</v>
      </c>
      <c r="H12" s="16">
        <f t="shared" si="4"/>
        <v>-2.8571428599999948E-2</v>
      </c>
      <c r="I12" s="17">
        <f t="shared" si="5"/>
        <v>-3.7037037085047943E-2</v>
      </c>
      <c r="J12" s="76">
        <v>27</v>
      </c>
      <c r="K12" s="77">
        <v>26</v>
      </c>
      <c r="L12" s="77">
        <f t="shared" si="6"/>
        <v>-1</v>
      </c>
      <c r="M12" s="50">
        <f t="shared" si="7"/>
        <v>-3.7037037037037035E-2</v>
      </c>
      <c r="N12" s="23">
        <v>665787.47360000003</v>
      </c>
      <c r="O12" s="24">
        <v>631271.10129999998</v>
      </c>
      <c r="P12" s="24">
        <f t="shared" si="8"/>
        <v>-34516.372300000046</v>
      </c>
      <c r="Q12" s="17">
        <f t="shared" si="9"/>
        <v>-5.1842928364761058E-2</v>
      </c>
      <c r="R12" s="47">
        <v>4.6795401882895993E-2</v>
      </c>
      <c r="S12" s="48">
        <v>3.3434686436722538E-2</v>
      </c>
      <c r="T12" s="49">
        <f t="shared" si="10"/>
        <v>-1.3360715446173455E-2</v>
      </c>
      <c r="U12" s="50">
        <f t="shared" si="11"/>
        <v>-0.28551342457979567</v>
      </c>
      <c r="V12" s="15">
        <v>161.18634979999999</v>
      </c>
      <c r="W12" s="16">
        <v>146.57497280000001</v>
      </c>
      <c r="X12" s="16">
        <f t="shared" si="12"/>
        <v>-14.611376999999976</v>
      </c>
      <c r="Y12" s="17">
        <f t="shared" si="13"/>
        <v>-9.0648972559585664E-2</v>
      </c>
      <c r="Z12" s="55">
        <v>240.87189332751001</v>
      </c>
      <c r="AA12" s="49">
        <v>333</v>
      </c>
      <c r="AB12" s="49">
        <f t="shared" si="0"/>
        <v>92.128106672489992</v>
      </c>
      <c r="AC12" s="50">
        <f t="shared" si="1"/>
        <v>0.38247761247604239</v>
      </c>
      <c r="AD12" s="55">
        <v>1.4943690559688001</v>
      </c>
      <c r="AE12" s="49">
        <v>2.2718748879222499</v>
      </c>
      <c r="AF12" s="49">
        <f t="shared" si="14"/>
        <v>0.7775058319534498</v>
      </c>
      <c r="AG12" s="50">
        <f t="shared" si="15"/>
        <v>0.52029037194523042</v>
      </c>
      <c r="AH12" s="15">
        <v>1.3757083429999999</v>
      </c>
      <c r="AI12" s="16">
        <v>1.402962644</v>
      </c>
      <c r="AJ12" s="16">
        <f t="shared" si="16"/>
        <v>2.7254301000000147E-2</v>
      </c>
      <c r="AK12" s="17">
        <f t="shared" si="17"/>
        <v>1.9811103958682724E-2</v>
      </c>
      <c r="AL12" s="15">
        <v>25.659920110000002</v>
      </c>
      <c r="AM12" s="16">
        <v>28.410742372000001</v>
      </c>
      <c r="AN12" s="16">
        <f t="shared" si="18"/>
        <v>2.7508222619999998</v>
      </c>
      <c r="AO12" s="17">
        <f t="shared" si="19"/>
        <v>0.10720307195843408</v>
      </c>
    </row>
    <row r="13" spans="1:41" x14ac:dyDescent="0.3">
      <c r="A13" s="1" t="s">
        <v>3</v>
      </c>
      <c r="B13" s="23">
        <v>28</v>
      </c>
      <c r="C13" s="24">
        <v>28</v>
      </c>
      <c r="D13" s="24">
        <f t="shared" si="2"/>
        <v>0</v>
      </c>
      <c r="E13" s="17">
        <f t="shared" si="3"/>
        <v>0</v>
      </c>
      <c r="F13" s="15">
        <v>0.7857142855</v>
      </c>
      <c r="G13" s="16">
        <v>0.74999999974999998</v>
      </c>
      <c r="H13" s="16">
        <f t="shared" si="4"/>
        <v>-3.5714285750000019E-2</v>
      </c>
      <c r="I13" s="17">
        <f t="shared" si="5"/>
        <v>-4.5454545512396721E-2</v>
      </c>
      <c r="J13" s="76">
        <v>22</v>
      </c>
      <c r="K13" s="77">
        <v>21</v>
      </c>
      <c r="L13" s="77">
        <f t="shared" si="6"/>
        <v>-1</v>
      </c>
      <c r="M13" s="50">
        <f t="shared" si="7"/>
        <v>-4.5454545454545456E-2</v>
      </c>
      <c r="N13" s="23">
        <v>686775.80642499996</v>
      </c>
      <c r="O13" s="24">
        <v>625107.850125</v>
      </c>
      <c r="P13" s="24">
        <f t="shared" si="8"/>
        <v>-61667.956299999962</v>
      </c>
      <c r="Q13" s="17">
        <f t="shared" si="9"/>
        <v>-8.9793431456200362E-2</v>
      </c>
      <c r="R13" s="47">
        <v>3.444697949233122E-2</v>
      </c>
      <c r="S13" s="48">
        <v>1.4965725908725691E-2</v>
      </c>
      <c r="T13" s="49">
        <f t="shared" si="10"/>
        <v>-1.9481253583605529E-2</v>
      </c>
      <c r="U13" s="50">
        <f t="shared" si="11"/>
        <v>-0.56554315852112824</v>
      </c>
      <c r="V13" s="15">
        <v>162.6717428</v>
      </c>
      <c r="W13" s="16">
        <v>145.42648600000001</v>
      </c>
      <c r="X13" s="16">
        <f t="shared" si="12"/>
        <v>-17.245256799999993</v>
      </c>
      <c r="Y13" s="17">
        <f t="shared" si="13"/>
        <v>-0.10601261474897036</v>
      </c>
      <c r="Z13" s="55">
        <v>249.89818410419699</v>
      </c>
      <c r="AA13" s="49">
        <v>329.73</v>
      </c>
      <c r="AB13" s="49">
        <f t="shared" si="0"/>
        <v>79.831815895803032</v>
      </c>
      <c r="AC13" s="50">
        <f t="shared" si="1"/>
        <v>0.31945736693515364</v>
      </c>
      <c r="AD13" s="55">
        <v>1.53621138953592</v>
      </c>
      <c r="AE13" s="49">
        <v>2.2673311381464099</v>
      </c>
      <c r="AF13" s="49">
        <f t="shared" si="14"/>
        <v>0.73111974861048989</v>
      </c>
      <c r="AG13" s="50">
        <f t="shared" si="15"/>
        <v>0.47592392140209083</v>
      </c>
      <c r="AH13" s="15">
        <v>1.4203940500000001</v>
      </c>
      <c r="AI13" s="16">
        <v>1.424453435</v>
      </c>
      <c r="AJ13" s="16">
        <f t="shared" si="16"/>
        <v>4.0593849999999154E-3</v>
      </c>
      <c r="AK13" s="17">
        <f t="shared" si="17"/>
        <v>2.8579287557561335E-3</v>
      </c>
      <c r="AL13" s="15">
        <v>25.399591359999999</v>
      </c>
      <c r="AM13" s="16">
        <v>23.35984667</v>
      </c>
      <c r="AN13" s="16">
        <f t="shared" si="18"/>
        <v>-2.0397446899999991</v>
      </c>
      <c r="AO13" s="17">
        <f t="shared" si="19"/>
        <v>-8.0306201036456332E-2</v>
      </c>
    </row>
    <row r="14" spans="1:41" x14ac:dyDescent="0.3">
      <c r="A14" s="1" t="s">
        <v>4</v>
      </c>
      <c r="B14" s="23">
        <v>28</v>
      </c>
      <c r="C14" s="24">
        <v>28</v>
      </c>
      <c r="D14" s="24">
        <f t="shared" si="2"/>
        <v>0</v>
      </c>
      <c r="E14" s="17">
        <f t="shared" si="3"/>
        <v>0</v>
      </c>
      <c r="F14" s="15">
        <v>0.7857142855</v>
      </c>
      <c r="G14" s="16">
        <v>0.82142857125000002</v>
      </c>
      <c r="H14" s="16">
        <f t="shared" si="4"/>
        <v>3.5714285750000019E-2</v>
      </c>
      <c r="I14" s="17">
        <f t="shared" si="5"/>
        <v>4.5454545512396721E-2</v>
      </c>
      <c r="J14" s="76">
        <v>22</v>
      </c>
      <c r="K14" s="77">
        <v>23</v>
      </c>
      <c r="L14" s="77">
        <f t="shared" si="6"/>
        <v>1</v>
      </c>
      <c r="M14" s="50">
        <f t="shared" si="7"/>
        <v>4.5454545454545456E-2</v>
      </c>
      <c r="N14" s="23">
        <v>749740.80489999999</v>
      </c>
      <c r="O14" s="24">
        <v>606618.09660000005</v>
      </c>
      <c r="P14" s="24">
        <f t="shared" si="8"/>
        <v>-143122.70829999994</v>
      </c>
      <c r="Q14" s="17">
        <f t="shared" si="9"/>
        <v>-0.190896250230224</v>
      </c>
      <c r="R14" s="47">
        <v>3.0590696999836187E-2</v>
      </c>
      <c r="S14" s="48">
        <v>1.5427362512386189E-2</v>
      </c>
      <c r="T14" s="49">
        <f t="shared" si="10"/>
        <v>-1.5163334487449998E-2</v>
      </c>
      <c r="U14" s="50">
        <f t="shared" si="11"/>
        <v>-0.49568450459076485</v>
      </c>
      <c r="V14" s="15">
        <v>157.9990449</v>
      </c>
      <c r="W14" s="16">
        <v>144.80754390000001</v>
      </c>
      <c r="X14" s="16">
        <f t="shared" si="12"/>
        <v>-13.191500999999988</v>
      </c>
      <c r="Y14" s="17">
        <f t="shared" si="13"/>
        <v>-8.3491017356143449E-2</v>
      </c>
      <c r="Z14" s="55">
        <v>252.91416945905999</v>
      </c>
      <c r="AA14" s="49">
        <v>327.67</v>
      </c>
      <c r="AB14" s="49">
        <f t="shared" si="0"/>
        <v>74.755830540940025</v>
      </c>
      <c r="AC14" s="50">
        <f t="shared" si="1"/>
        <v>0.29557786620192106</v>
      </c>
      <c r="AD14" s="55">
        <v>1.60073226789643</v>
      </c>
      <c r="AE14" s="49">
        <v>2.26279647587012</v>
      </c>
      <c r="AF14" s="49">
        <f t="shared" si="14"/>
        <v>0.66206420797369003</v>
      </c>
      <c r="AG14" s="50">
        <f t="shared" si="15"/>
        <v>0.41360083834864425</v>
      </c>
      <c r="AH14" s="15">
        <v>1.396731181</v>
      </c>
      <c r="AI14" s="16">
        <v>1.443185443</v>
      </c>
      <c r="AJ14" s="16">
        <f t="shared" si="16"/>
        <v>4.6454261999999913E-2</v>
      </c>
      <c r="AK14" s="17">
        <f t="shared" si="17"/>
        <v>3.3259271814022683E-2</v>
      </c>
      <c r="AL14" s="15">
        <v>21.331933772500001</v>
      </c>
      <c r="AM14" s="16">
        <v>21.5838451525</v>
      </c>
      <c r="AN14" s="16">
        <f t="shared" si="18"/>
        <v>0.25191137999999924</v>
      </c>
      <c r="AO14" s="17">
        <f t="shared" si="19"/>
        <v>1.1809120667941977E-2</v>
      </c>
    </row>
    <row r="15" spans="1:41" x14ac:dyDescent="0.3">
      <c r="A15" s="1" t="s">
        <v>5</v>
      </c>
      <c r="B15" s="23">
        <v>35</v>
      </c>
      <c r="C15" s="24">
        <v>35</v>
      </c>
      <c r="D15" s="24">
        <f t="shared" si="2"/>
        <v>0</v>
      </c>
      <c r="E15" s="17">
        <f t="shared" si="3"/>
        <v>0</v>
      </c>
      <c r="F15" s="15">
        <v>0.74285714260000002</v>
      </c>
      <c r="G15" s="16">
        <v>0.77142857119999997</v>
      </c>
      <c r="H15" s="16">
        <f t="shared" si="4"/>
        <v>2.8571428599999948E-2</v>
      </c>
      <c r="I15" s="17">
        <f t="shared" si="5"/>
        <v>3.8461538513313541E-2</v>
      </c>
      <c r="J15" s="76">
        <v>26</v>
      </c>
      <c r="K15" s="77">
        <v>27</v>
      </c>
      <c r="L15" s="77">
        <f t="shared" si="6"/>
        <v>1</v>
      </c>
      <c r="M15" s="50">
        <f t="shared" si="7"/>
        <v>3.8461538461538464E-2</v>
      </c>
      <c r="N15" s="23">
        <v>749740.80489999999</v>
      </c>
      <c r="O15" s="24">
        <v>606618.09660000005</v>
      </c>
      <c r="P15" s="24">
        <f t="shared" si="8"/>
        <v>-143122.70829999994</v>
      </c>
      <c r="Q15" s="17">
        <f t="shared" si="9"/>
        <v>-0.190896250230224</v>
      </c>
      <c r="R15" s="47">
        <v>2.7180054023995259E-2</v>
      </c>
      <c r="S15" s="48">
        <v>2.2435391591276943E-2</v>
      </c>
      <c r="T15" s="49">
        <f t="shared" si="10"/>
        <v>-4.7446624327183162E-3</v>
      </c>
      <c r="U15" s="50">
        <f t="shared" si="11"/>
        <v>-0.17456412811135713</v>
      </c>
      <c r="V15" s="15">
        <v>156.82875920000001</v>
      </c>
      <c r="W15" s="16">
        <v>144.662881</v>
      </c>
      <c r="X15" s="16">
        <f t="shared" si="12"/>
        <v>-12.165878200000009</v>
      </c>
      <c r="Y15" s="17">
        <f t="shared" si="13"/>
        <v>-7.7574280776430499E-2</v>
      </c>
      <c r="Z15" s="55">
        <v>257.56791764419899</v>
      </c>
      <c r="AA15" s="49">
        <v>327.67</v>
      </c>
      <c r="AB15" s="49">
        <f t="shared" si="0"/>
        <v>70.102082355801031</v>
      </c>
      <c r="AC15" s="50">
        <f t="shared" si="1"/>
        <v>0.2721693097377102</v>
      </c>
      <c r="AD15" s="55">
        <v>1.6423513068617399</v>
      </c>
      <c r="AE15" s="49">
        <v>2.2650592723459901</v>
      </c>
      <c r="AF15" s="49">
        <f t="shared" si="14"/>
        <v>0.62270796548425023</v>
      </c>
      <c r="AG15" s="50">
        <f t="shared" si="15"/>
        <v>0.37915637347659897</v>
      </c>
      <c r="AH15" s="15">
        <v>1.397617221</v>
      </c>
      <c r="AI15" s="16">
        <v>1.443185443</v>
      </c>
      <c r="AJ15" s="16">
        <f t="shared" si="16"/>
        <v>4.5568221999999992E-2</v>
      </c>
      <c r="AK15" s="17">
        <f t="shared" si="17"/>
        <v>3.2604221896604689E-2</v>
      </c>
      <c r="AL15" s="15">
        <v>18.186942785999999</v>
      </c>
      <c r="AM15" s="16">
        <v>17.610783993999998</v>
      </c>
      <c r="AN15" s="16">
        <f t="shared" si="18"/>
        <v>-0.57615879200000109</v>
      </c>
      <c r="AO15" s="17">
        <f t="shared" si="19"/>
        <v>-3.1679804504774624E-2</v>
      </c>
    </row>
    <row r="16" spans="1:41" x14ac:dyDescent="0.3">
      <c r="A16" s="1" t="s">
        <v>6</v>
      </c>
      <c r="B16" s="23">
        <v>28</v>
      </c>
      <c r="C16" s="24">
        <v>28</v>
      </c>
      <c r="D16" s="24">
        <f t="shared" si="2"/>
        <v>0</v>
      </c>
      <c r="E16" s="17">
        <f t="shared" si="3"/>
        <v>0</v>
      </c>
      <c r="F16" s="15">
        <v>0.7857142855</v>
      </c>
      <c r="G16" s="16">
        <v>0.7857142855</v>
      </c>
      <c r="H16" s="16">
        <f t="shared" si="4"/>
        <v>0</v>
      </c>
      <c r="I16" s="17">
        <f t="shared" si="5"/>
        <v>0</v>
      </c>
      <c r="J16" s="76">
        <v>22</v>
      </c>
      <c r="K16" s="77">
        <v>22</v>
      </c>
      <c r="L16" s="77">
        <f t="shared" si="6"/>
        <v>0</v>
      </c>
      <c r="M16" s="50">
        <f t="shared" si="7"/>
        <v>0</v>
      </c>
      <c r="N16" s="23">
        <v>732789.16012500005</v>
      </c>
      <c r="O16" s="24">
        <v>604847.17390000005</v>
      </c>
      <c r="P16" s="24">
        <f t="shared" si="8"/>
        <v>-127941.986225</v>
      </c>
      <c r="Q16" s="17">
        <f t="shared" si="9"/>
        <v>-0.17459590450706927</v>
      </c>
      <c r="R16" s="47">
        <v>2.1978655386921009E-2</v>
      </c>
      <c r="S16" s="48">
        <v>1.9341946456512993E-2</v>
      </c>
      <c r="T16" s="49">
        <f t="shared" si="10"/>
        <v>-2.636708930408016E-3</v>
      </c>
      <c r="U16" s="50">
        <f t="shared" si="11"/>
        <v>-0.11996679887783585</v>
      </c>
      <c r="V16" s="15">
        <v>152.3631661</v>
      </c>
      <c r="W16" s="16">
        <v>142.80639780000001</v>
      </c>
      <c r="X16" s="16">
        <f t="shared" si="12"/>
        <v>-9.5567682999999874</v>
      </c>
      <c r="Y16" s="17">
        <f t="shared" si="13"/>
        <v>-6.2723613223734306E-2</v>
      </c>
      <c r="Z16" s="55">
        <v>260.99390024793098</v>
      </c>
      <c r="AA16" s="49">
        <v>327.67</v>
      </c>
      <c r="AB16" s="49">
        <f t="shared" si="0"/>
        <v>66.676099752069035</v>
      </c>
      <c r="AC16" s="50">
        <f t="shared" si="1"/>
        <v>0.25546995423544427</v>
      </c>
      <c r="AD16" s="55">
        <v>1.7129724130568</v>
      </c>
      <c r="AE16" s="49">
        <v>2.2945050428864802</v>
      </c>
      <c r="AF16" s="49">
        <f t="shared" si="14"/>
        <v>0.58153262982968013</v>
      </c>
      <c r="AG16" s="50">
        <f t="shared" si="15"/>
        <v>0.33948744614744547</v>
      </c>
      <c r="AH16" s="15">
        <v>1.409094802</v>
      </c>
      <c r="AI16" s="16">
        <v>1.443185443</v>
      </c>
      <c r="AJ16" s="16">
        <f t="shared" si="16"/>
        <v>3.4090640999999922E-2</v>
      </c>
      <c r="AK16" s="17">
        <f t="shared" si="17"/>
        <v>2.4193291289992227E-2</v>
      </c>
      <c r="AL16" s="15">
        <v>15.602646267500001</v>
      </c>
      <c r="AM16" s="16">
        <v>14.9257732225</v>
      </c>
      <c r="AN16" s="16">
        <f t="shared" si="18"/>
        <v>-0.67687304500000067</v>
      </c>
      <c r="AO16" s="17">
        <f t="shared" si="19"/>
        <v>-4.3381938768291738E-2</v>
      </c>
    </row>
    <row r="17" spans="1:41" x14ac:dyDescent="0.3">
      <c r="A17" s="1" t="s">
        <v>7</v>
      </c>
      <c r="B17" s="23">
        <v>28</v>
      </c>
      <c r="C17" s="24">
        <v>28</v>
      </c>
      <c r="D17" s="24">
        <f t="shared" si="2"/>
        <v>0</v>
      </c>
      <c r="E17" s="17">
        <f t="shared" si="3"/>
        <v>0</v>
      </c>
      <c r="F17" s="15">
        <v>0.82142857125000002</v>
      </c>
      <c r="G17" s="16">
        <v>0.82142857125000002</v>
      </c>
      <c r="H17" s="16">
        <f t="shared" si="4"/>
        <v>0</v>
      </c>
      <c r="I17" s="17">
        <f t="shared" si="5"/>
        <v>0</v>
      </c>
      <c r="J17" s="76">
        <v>23</v>
      </c>
      <c r="K17" s="77">
        <v>23</v>
      </c>
      <c r="L17" s="77">
        <f t="shared" si="6"/>
        <v>0</v>
      </c>
      <c r="M17" s="50">
        <f t="shared" si="7"/>
        <v>0</v>
      </c>
      <c r="N17" s="23">
        <v>681934.22580000001</v>
      </c>
      <c r="O17" s="24">
        <v>599534.40579999995</v>
      </c>
      <c r="P17" s="24">
        <f t="shared" si="8"/>
        <v>-82399.820000000065</v>
      </c>
      <c r="Q17" s="17">
        <f t="shared" si="9"/>
        <v>-0.12083250390216749</v>
      </c>
      <c r="R17" s="47">
        <v>3.9539857870486861E-2</v>
      </c>
      <c r="S17" s="48">
        <v>2.7001103590661213E-2</v>
      </c>
      <c r="T17" s="49">
        <f t="shared" si="10"/>
        <v>-1.2538754279825648E-2</v>
      </c>
      <c r="U17" s="50">
        <f t="shared" si="11"/>
        <v>-0.31711682730111079</v>
      </c>
      <c r="V17" s="15">
        <v>152.30798010000001</v>
      </c>
      <c r="W17" s="16">
        <v>141.75169529999999</v>
      </c>
      <c r="X17" s="16">
        <f t="shared" si="12"/>
        <v>-10.556284800000014</v>
      </c>
      <c r="Y17" s="17">
        <f t="shared" si="13"/>
        <v>-6.9308809643914476E-2</v>
      </c>
      <c r="Z17" s="55">
        <v>268.20455056031398</v>
      </c>
      <c r="AA17" s="49">
        <v>332.08022926806399</v>
      </c>
      <c r="AB17" s="49">
        <f t="shared" si="0"/>
        <v>63.875678707750012</v>
      </c>
      <c r="AC17" s="50">
        <f t="shared" si="1"/>
        <v>0.23816030926509435</v>
      </c>
      <c r="AD17" s="55">
        <v>1.7609356406223899</v>
      </c>
      <c r="AE17" s="49">
        <v>2.3426896487871001</v>
      </c>
      <c r="AF17" s="49">
        <f t="shared" si="14"/>
        <v>0.58175400816471012</v>
      </c>
      <c r="AG17" s="50">
        <f t="shared" si="15"/>
        <v>0.33036642268146349</v>
      </c>
      <c r="AH17" s="15">
        <v>1.3994480970000001</v>
      </c>
      <c r="AI17" s="16">
        <v>1.445476832</v>
      </c>
      <c r="AJ17" s="16">
        <f t="shared" si="16"/>
        <v>4.6028734999999932E-2</v>
      </c>
      <c r="AK17" s="17">
        <f t="shared" si="17"/>
        <v>3.2890633885366546E-2</v>
      </c>
      <c r="AL17" s="15">
        <v>16.127424550000001</v>
      </c>
      <c r="AM17" s="16">
        <v>18.11820084</v>
      </c>
      <c r="AN17" s="16">
        <f t="shared" si="18"/>
        <v>1.9907762899999994</v>
      </c>
      <c r="AO17" s="17">
        <f t="shared" si="19"/>
        <v>0.12344043426326241</v>
      </c>
    </row>
    <row r="18" spans="1:41" x14ac:dyDescent="0.3">
      <c r="A18" s="1" t="s">
        <v>8</v>
      </c>
      <c r="B18" s="23">
        <v>35</v>
      </c>
      <c r="C18" s="24">
        <v>35</v>
      </c>
      <c r="D18" s="24">
        <f t="shared" si="2"/>
        <v>0</v>
      </c>
      <c r="E18" s="17">
        <f t="shared" si="3"/>
        <v>0</v>
      </c>
      <c r="F18" s="15">
        <v>0.82857142839999998</v>
      </c>
      <c r="G18" s="16">
        <v>0.85714285700000004</v>
      </c>
      <c r="H18" s="16">
        <f t="shared" si="4"/>
        <v>2.8571428600000059E-2</v>
      </c>
      <c r="I18" s="17">
        <f t="shared" si="5"/>
        <v>3.448275866230685E-2</v>
      </c>
      <c r="J18" s="76">
        <v>29</v>
      </c>
      <c r="K18" s="77">
        <v>30</v>
      </c>
      <c r="L18" s="77">
        <f t="shared" si="6"/>
        <v>1</v>
      </c>
      <c r="M18" s="50">
        <f t="shared" si="7"/>
        <v>3.4482758620689655E-2</v>
      </c>
      <c r="N18" s="23">
        <v>681934.22580000001</v>
      </c>
      <c r="O18" s="24">
        <v>599534.40579999995</v>
      </c>
      <c r="P18" s="24">
        <f t="shared" si="8"/>
        <v>-82399.820000000065</v>
      </c>
      <c r="Q18" s="17">
        <f t="shared" si="9"/>
        <v>-0.12083250390216749</v>
      </c>
      <c r="R18" s="47">
        <v>5.8856622721223051E-2</v>
      </c>
      <c r="S18" s="48">
        <v>2.8355216469789557E-2</v>
      </c>
      <c r="T18" s="49">
        <f t="shared" si="10"/>
        <v>-3.0501406251433494E-2</v>
      </c>
      <c r="U18" s="50">
        <f t="shared" si="11"/>
        <v>-0.51823235587105854</v>
      </c>
      <c r="V18" s="15">
        <v>157.38361019999999</v>
      </c>
      <c r="W18" s="16">
        <v>143.54602059999999</v>
      </c>
      <c r="X18" s="16">
        <f t="shared" si="12"/>
        <v>-13.837589600000001</v>
      </c>
      <c r="Y18" s="17">
        <f t="shared" si="13"/>
        <v>-8.7922685103076895E-2</v>
      </c>
      <c r="Z18" s="55">
        <v>284.34811100780502</v>
      </c>
      <c r="AA18" s="49">
        <v>345.36343843878598</v>
      </c>
      <c r="AB18" s="49">
        <f t="shared" si="0"/>
        <v>61.01532743098096</v>
      </c>
      <c r="AC18" s="50">
        <f t="shared" si="1"/>
        <v>0.21457968268094513</v>
      </c>
      <c r="AD18" s="55">
        <v>1.8067199672785701</v>
      </c>
      <c r="AE18" s="49">
        <v>2.40594226930435</v>
      </c>
      <c r="AF18" s="49">
        <f t="shared" si="14"/>
        <v>0.59922230202577986</v>
      </c>
      <c r="AG18" s="50">
        <f t="shared" si="15"/>
        <v>0.33166307611487666</v>
      </c>
      <c r="AH18" s="15">
        <v>1.4129937509999999</v>
      </c>
      <c r="AI18" s="16">
        <v>1.4521434520000001</v>
      </c>
      <c r="AJ18" s="16">
        <f t="shared" si="16"/>
        <v>3.9149701000000148E-2</v>
      </c>
      <c r="AK18" s="17">
        <f t="shared" si="17"/>
        <v>2.77069172969047E-2</v>
      </c>
      <c r="AL18" s="15">
        <v>20.204379377999999</v>
      </c>
      <c r="AM18" s="16">
        <v>19.100297334</v>
      </c>
      <c r="AN18" s="16">
        <f t="shared" si="18"/>
        <v>-1.1040820439999983</v>
      </c>
      <c r="AO18" s="17">
        <f t="shared" si="19"/>
        <v>-5.4645679698640155E-2</v>
      </c>
    </row>
    <row r="19" spans="1:41" x14ac:dyDescent="0.3">
      <c r="A19" s="1" t="s">
        <v>9</v>
      </c>
      <c r="B19" s="23">
        <v>28</v>
      </c>
      <c r="C19" s="24">
        <v>28</v>
      </c>
      <c r="D19" s="24">
        <f t="shared" si="2"/>
        <v>0</v>
      </c>
      <c r="E19" s="17">
        <f t="shared" si="3"/>
        <v>0</v>
      </c>
      <c r="F19" s="15">
        <v>0.82142857125000002</v>
      </c>
      <c r="G19" s="16">
        <v>0.82142857125000002</v>
      </c>
      <c r="H19" s="16">
        <f t="shared" si="4"/>
        <v>0</v>
      </c>
      <c r="I19" s="17">
        <f t="shared" si="5"/>
        <v>0</v>
      </c>
      <c r="J19" s="76">
        <v>23</v>
      </c>
      <c r="K19" s="77">
        <v>23</v>
      </c>
      <c r="L19" s="77">
        <f t="shared" si="6"/>
        <v>0</v>
      </c>
      <c r="M19" s="50">
        <f t="shared" si="7"/>
        <v>0</v>
      </c>
      <c r="N19" s="23">
        <v>679639.00937500002</v>
      </c>
      <c r="O19" s="24">
        <v>600052.80359999998</v>
      </c>
      <c r="P19" s="24">
        <f t="shared" si="8"/>
        <v>-79586.205775000039</v>
      </c>
      <c r="Q19" s="17">
        <f t="shared" si="9"/>
        <v>-0.11710070298670462</v>
      </c>
      <c r="R19" s="47">
        <v>3.2934820909841234E-2</v>
      </c>
      <c r="S19" s="48">
        <v>3.2000000000000001E-2</v>
      </c>
      <c r="T19" s="49">
        <f t="shared" si="10"/>
        <v>-9.3482090984123301E-4</v>
      </c>
      <c r="U19" s="50">
        <f t="shared" si="11"/>
        <v>-2.8383968214076419E-2</v>
      </c>
      <c r="V19" s="15">
        <v>153.97343240000001</v>
      </c>
      <c r="W19" s="16">
        <v>139.22989380000001</v>
      </c>
      <c r="X19" s="16">
        <f t="shared" si="12"/>
        <v>-14.743538599999994</v>
      </c>
      <c r="Y19" s="17">
        <f t="shared" si="13"/>
        <v>-9.5753782780515537E-2</v>
      </c>
      <c r="Z19" s="55">
        <v>288.75797599932702</v>
      </c>
      <c r="AA19" s="49">
        <v>345.36343843878598</v>
      </c>
      <c r="AB19" s="49">
        <f t="shared" si="0"/>
        <v>56.605462439458961</v>
      </c>
      <c r="AC19" s="50">
        <f t="shared" si="1"/>
        <v>0.1960308186936138</v>
      </c>
      <c r="AD19" s="55">
        <v>1.87537532603515</v>
      </c>
      <c r="AE19" s="49">
        <v>2.4805264796527902</v>
      </c>
      <c r="AF19" s="49">
        <f t="shared" si="14"/>
        <v>0.60515115361764016</v>
      </c>
      <c r="AG19" s="50">
        <f t="shared" si="15"/>
        <v>0.32268268928173893</v>
      </c>
      <c r="AH19" s="15">
        <v>1.3867034949999999</v>
      </c>
      <c r="AI19" s="16">
        <v>1.4521434520000001</v>
      </c>
      <c r="AJ19" s="16">
        <f t="shared" si="16"/>
        <v>6.543995700000016E-2</v>
      </c>
      <c r="AK19" s="17">
        <f t="shared" si="17"/>
        <v>4.7191023341294866E-2</v>
      </c>
      <c r="AL19" s="15">
        <v>21.806494494999999</v>
      </c>
      <c r="AM19" s="16">
        <v>22.757141047499999</v>
      </c>
      <c r="AN19" s="16">
        <f t="shared" si="18"/>
        <v>0.9506465525000003</v>
      </c>
      <c r="AO19" s="17">
        <f t="shared" si="19"/>
        <v>4.3594652625985969E-2</v>
      </c>
    </row>
    <row r="20" spans="1:41" x14ac:dyDescent="0.3">
      <c r="A20" s="1" t="s">
        <v>10</v>
      </c>
      <c r="B20" s="23">
        <v>28</v>
      </c>
      <c r="C20" s="24">
        <v>28</v>
      </c>
      <c r="D20" s="24">
        <f t="shared" si="2"/>
        <v>0</v>
      </c>
      <c r="E20" s="17">
        <f t="shared" si="3"/>
        <v>0</v>
      </c>
      <c r="F20" s="15">
        <v>0.7857142855</v>
      </c>
      <c r="G20" s="16">
        <v>0.85714285700000004</v>
      </c>
      <c r="H20" s="16">
        <f t="shared" si="4"/>
        <v>7.1428571500000038E-2</v>
      </c>
      <c r="I20" s="17">
        <f t="shared" si="5"/>
        <v>9.0909091024793443E-2</v>
      </c>
      <c r="J20" s="76">
        <v>22</v>
      </c>
      <c r="K20" s="77">
        <v>24</v>
      </c>
      <c r="L20" s="77">
        <f t="shared" si="6"/>
        <v>2</v>
      </c>
      <c r="M20" s="50">
        <f t="shared" si="7"/>
        <v>9.0909090909090912E-2</v>
      </c>
      <c r="N20" s="23">
        <v>672753.36010000005</v>
      </c>
      <c r="O20" s="24">
        <v>601607.99699999997</v>
      </c>
      <c r="P20" s="24">
        <f t="shared" si="8"/>
        <v>-71145.363100000075</v>
      </c>
      <c r="Q20" s="17">
        <f t="shared" si="9"/>
        <v>-0.10575251989737341</v>
      </c>
      <c r="R20" s="47">
        <v>4.2545373094803107E-2</v>
      </c>
      <c r="S20" s="48">
        <v>3.6217053421069997E-2</v>
      </c>
      <c r="T20" s="49">
        <f t="shared" si="10"/>
        <v>-6.3283196737331099E-3</v>
      </c>
      <c r="U20" s="50">
        <f t="shared" si="11"/>
        <v>-0.14874284119290307</v>
      </c>
      <c r="V20" s="15">
        <v>155.0906976</v>
      </c>
      <c r="W20" s="16">
        <v>139.0961475</v>
      </c>
      <c r="X20" s="16">
        <f t="shared" si="12"/>
        <v>-15.994550099999998</v>
      </c>
      <c r="Y20" s="17">
        <f t="shared" si="13"/>
        <v>-0.10313029954415524</v>
      </c>
      <c r="Z20" s="55">
        <v>298.99715904934402</v>
      </c>
      <c r="AA20" s="49">
        <v>359.17797597633802</v>
      </c>
      <c r="AB20" s="49">
        <f t="shared" si="0"/>
        <v>60.180816926993998</v>
      </c>
      <c r="AC20" s="50">
        <f t="shared" si="1"/>
        <v>0.20127554762840491</v>
      </c>
      <c r="AD20" s="55">
        <v>1.9278858351641399</v>
      </c>
      <c r="AE20" s="49">
        <v>2.5822280653185499</v>
      </c>
      <c r="AF20" s="49">
        <f t="shared" si="14"/>
        <v>0.65434223015440995</v>
      </c>
      <c r="AG20" s="50">
        <f t="shared" si="15"/>
        <v>0.33940922134463392</v>
      </c>
      <c r="AH20" s="15">
        <v>1.3768880240000001</v>
      </c>
      <c r="AI20" s="16">
        <v>1.45884082</v>
      </c>
      <c r="AJ20" s="16">
        <f t="shared" si="16"/>
        <v>8.1952795999999939E-2</v>
      </c>
      <c r="AK20" s="17">
        <f t="shared" si="17"/>
        <v>5.952030562508541E-2</v>
      </c>
      <c r="AL20" s="15">
        <v>27.650973005000001</v>
      </c>
      <c r="AM20" s="16">
        <v>23.713204147500001</v>
      </c>
      <c r="AN20" s="16">
        <f t="shared" si="18"/>
        <v>-3.9377688575000001</v>
      </c>
      <c r="AO20" s="17">
        <f t="shared" si="19"/>
        <v>-0.1424097754819677</v>
      </c>
    </row>
    <row r="21" spans="1:41" ht="15" thickBot="1" x14ac:dyDescent="0.35">
      <c r="A21" s="1" t="s">
        <v>11</v>
      </c>
      <c r="B21" s="187">
        <v>39</v>
      </c>
      <c r="C21" s="188">
        <v>41</v>
      </c>
      <c r="D21" s="188">
        <f t="shared" si="2"/>
        <v>2</v>
      </c>
      <c r="E21" s="189">
        <f t="shared" si="3"/>
        <v>5.128205128205128E-2</v>
      </c>
      <c r="F21" s="190">
        <v>0.80259740239999999</v>
      </c>
      <c r="G21" s="147">
        <v>0.75384615359999996</v>
      </c>
      <c r="H21" s="147">
        <f t="shared" si="4"/>
        <v>-4.8751248800000035E-2</v>
      </c>
      <c r="I21" s="189">
        <f t="shared" si="5"/>
        <v>-6.0741847225295777E-2</v>
      </c>
      <c r="J21" s="191">
        <v>31</v>
      </c>
      <c r="K21" s="192">
        <v>31</v>
      </c>
      <c r="L21" s="192">
        <f t="shared" si="6"/>
        <v>0</v>
      </c>
      <c r="M21" s="193">
        <f t="shared" si="7"/>
        <v>0</v>
      </c>
      <c r="N21" s="187">
        <v>672753.36010000005</v>
      </c>
      <c r="O21" s="188">
        <v>601607.99699999997</v>
      </c>
      <c r="P21" s="188">
        <f t="shared" si="8"/>
        <v>-71145.363100000075</v>
      </c>
      <c r="Q21" s="189">
        <f t="shared" si="9"/>
        <v>-0.10575251989737341</v>
      </c>
      <c r="R21" s="216">
        <v>3.7437073551383371E-2</v>
      </c>
      <c r="S21" s="217">
        <v>3.8083346072419998E-2</v>
      </c>
      <c r="T21" s="196">
        <f t="shared" si="10"/>
        <v>6.4627252103662686E-4</v>
      </c>
      <c r="U21" s="193">
        <f t="shared" si="11"/>
        <v>1.7262901710241876E-2</v>
      </c>
      <c r="V21" s="190">
        <v>154.84477319999999</v>
      </c>
      <c r="W21" s="147">
        <v>136.4212216</v>
      </c>
      <c r="X21" s="147">
        <f t="shared" si="12"/>
        <v>-18.423551599999996</v>
      </c>
      <c r="Y21" s="189">
        <f t="shared" si="13"/>
        <v>-0.11898077809965107</v>
      </c>
      <c r="Z21" s="197">
        <v>303.00089053000198</v>
      </c>
      <c r="AA21" s="196">
        <v>366.36153549586402</v>
      </c>
      <c r="AB21" s="196">
        <f t="shared" si="0"/>
        <v>63.360644965862036</v>
      </c>
      <c r="AC21" s="193">
        <f t="shared" si="1"/>
        <v>0.20911042490678194</v>
      </c>
      <c r="AD21" s="197">
        <v>1.9568041226916</v>
      </c>
      <c r="AE21" s="196">
        <v>2.68551718793129</v>
      </c>
      <c r="AF21" s="196">
        <f t="shared" si="14"/>
        <v>0.72871306523969004</v>
      </c>
      <c r="AG21" s="193">
        <f t="shared" si="15"/>
        <v>0.37239959625460073</v>
      </c>
      <c r="AH21" s="190">
        <v>1.3518578750000001</v>
      </c>
      <c r="AI21" s="147">
        <v>1.462263173</v>
      </c>
      <c r="AJ21" s="147">
        <f t="shared" si="16"/>
        <v>0.11040529799999987</v>
      </c>
      <c r="AK21" s="189">
        <f t="shared" si="17"/>
        <v>8.1669308617224184E-2</v>
      </c>
      <c r="AL21" s="190">
        <v>29.373125504000001</v>
      </c>
      <c r="AM21" s="147">
        <v>29.035562494000001</v>
      </c>
      <c r="AN21" s="147">
        <f t="shared" si="18"/>
        <v>-0.33756301000000022</v>
      </c>
      <c r="AO21" s="189">
        <f t="shared" si="19"/>
        <v>-1.1492240073465497E-2</v>
      </c>
    </row>
    <row r="22" spans="1:41" ht="15" thickBot="1" x14ac:dyDescent="0.35">
      <c r="A22" s="4" t="s">
        <v>15</v>
      </c>
      <c r="B22" s="198">
        <f>SUM(B10:B21)</f>
        <v>365</v>
      </c>
      <c r="C22" s="199">
        <f>SUM(C10:C21)</f>
        <v>366</v>
      </c>
      <c r="D22" s="199">
        <f t="shared" si="2"/>
        <v>1</v>
      </c>
      <c r="E22" s="200">
        <f t="shared" si="3"/>
        <v>2.7397260273972603E-3</v>
      </c>
      <c r="F22" s="201">
        <f>(4*SUM(F10:F11,F13:F14,F16:F17,F19:F20)+5*SUM(F12,F15,F18,F21))/52</f>
        <v>0.80038711269230778</v>
      </c>
      <c r="G22" s="202">
        <f>(4*SUM(G10:G11,G13:G14,G16:G17,G19:G20)+5*SUM(G12,G15,G18,G21))/52</f>
        <v>0.8023386867500002</v>
      </c>
      <c r="H22" s="202">
        <f t="shared" si="4"/>
        <v>1.9515740576924179E-3</v>
      </c>
      <c r="I22" s="200">
        <f t="shared" si="5"/>
        <v>2.4382877069669411E-3</v>
      </c>
      <c r="J22" s="203">
        <f>SUM(J10:J21)</f>
        <v>292</v>
      </c>
      <c r="K22" s="204">
        <f>SUM(K10:K21)</f>
        <v>294</v>
      </c>
      <c r="L22" s="204">
        <f t="shared" si="6"/>
        <v>2</v>
      </c>
      <c r="M22" s="205">
        <f t="shared" si="7"/>
        <v>6.8493150684931503E-3</v>
      </c>
      <c r="N22" s="198">
        <f>(4*SUM(N10:N11,N13:N14,N16:N17,N19:N20)+5*SUM(N12,N15,N18,N21))/52</f>
        <v>692984.4214115385</v>
      </c>
      <c r="O22" s="199">
        <f>(4*SUM(O10:O11,O13:O14,O16:O17,O19:O20)+5*SUM(O12,O15,O18,O21))/52</f>
        <v>613862.44035384618</v>
      </c>
      <c r="P22" s="199">
        <f t="shared" si="8"/>
        <v>-79121.981057692319</v>
      </c>
      <c r="Q22" s="218">
        <f t="shared" si="9"/>
        <v>-0.11417569950061637</v>
      </c>
      <c r="R22" s="207">
        <f>PRODUCT((1+R10),(1+R11),(1+R12),(1+R13),(1+R14),(1+R15),(1+R16),(1+R17),(1+R18),(1+R19),(1+R20),(1+R21))-1</f>
        <v>0.53832402016333858</v>
      </c>
      <c r="S22" s="208">
        <f>PRODUCT((1+S10),(1+S11),(1+S12),(1+S13),(1+S14),(1+S15),(1+S16),(1+S17),(1+S18),(1+S19),(1+S20),(1+S21))-1</f>
        <v>0.35753044046208426</v>
      </c>
      <c r="T22" s="209">
        <f t="shared" si="10"/>
        <v>-0.18079357970125431</v>
      </c>
      <c r="U22" s="205">
        <f t="shared" si="11"/>
        <v>-0.33584527706268397</v>
      </c>
      <c r="V22" s="201">
        <f>(4*SUM(V10:V11,V13:V14,V16:V17,V19:V20)+5*SUM(V12,V15,V18,V21))/52</f>
        <v>156.78815660000001</v>
      </c>
      <c r="W22" s="202">
        <f>(4*SUM(W10:W11,W13:W14,W16:W17,W19:W20)+5*SUM(W12,W15,W18,W21))/52</f>
        <v>143.0810338</v>
      </c>
      <c r="X22" s="202">
        <f t="shared" si="12"/>
        <v>-13.707122800000008</v>
      </c>
      <c r="Y22" s="200">
        <f t="shared" si="13"/>
        <v>-8.7424478335884764E-2</v>
      </c>
      <c r="Z22" s="210">
        <f>(4*SUM(Z10:Z11,Z13:Z14,Z16:Z17,Z19:Z20)+5*SUM(Z12,Z15,Z18,Z21))/52</f>
        <v>263.60945828618156</v>
      </c>
      <c r="AA22" s="209">
        <f>(4*SUM(AA10:AA11,AA13:AA14,AA16:AA17,AA19:AA20)+5*SUM(AA12,AA15,AA18,AA21))/52</f>
        <v>336.41651949033724</v>
      </c>
      <c r="AB22" s="209">
        <f t="shared" si="0"/>
        <v>72.807061204155673</v>
      </c>
      <c r="AC22" s="205">
        <f t="shared" si="1"/>
        <v>0.2761929017171848</v>
      </c>
      <c r="AD22" s="210">
        <f>(4*SUM(AD10:AD11,AD13:AD14,AD16:AD17,AD19:AD20)+5*SUM(AD12,AD15,AD18,AD21))/52</f>
        <v>1.6835675975782005</v>
      </c>
      <c r="AE22" s="209">
        <f>(4*SUM(AE10:AE11,AE13:AE14,AE16:AE17,AE19:AE20)+5*SUM(AE12,AE15,AE18,AE21))/52</f>
        <v>2.3545767625035086</v>
      </c>
      <c r="AF22" s="209">
        <f t="shared" si="14"/>
        <v>0.67100916492530804</v>
      </c>
      <c r="AG22" s="205">
        <f t="shared" si="15"/>
        <v>0.39856383901100839</v>
      </c>
      <c r="AH22" s="201">
        <f>(4*SUM(AH10:AH11,AH13:AH14,AH16:AH17,AH19:AH20)+5*SUM(AH12,AH15,AH18,AH21))/52</f>
        <v>1.3833817951923075</v>
      </c>
      <c r="AI22" s="202">
        <f>(4*SUM(AI10:AI11,AI13:AI14,AI16:AI17,AI19:AI20)+5*SUM(AI12,AI15,AI18,AI21))/52</f>
        <v>1.4324766656153847</v>
      </c>
      <c r="AJ22" s="202">
        <f t="shared" si="16"/>
        <v>4.9094870423077142E-2</v>
      </c>
      <c r="AK22" s="200">
        <f t="shared" si="17"/>
        <v>3.5489024500465059E-2</v>
      </c>
      <c r="AL22" s="201">
        <f>(4*SUM(AL10:AL11,AL13:AL14,AL16:AL17,AL19:AL20)+5*SUM(AL12,AL15,AL18,AL21))/52</f>
        <v>23.420898055769236</v>
      </c>
      <c r="AM22" s="202">
        <f>(4*SUM(AM10:AM11,AM13:AM14,AM16:AM17,AM19:AM20)+5*SUM(AM12,AM15,AM18,AM21))/52</f>
        <v>23.248203502500001</v>
      </c>
      <c r="AN22" s="202">
        <f t="shared" si="18"/>
        <v>-0.17269455326923477</v>
      </c>
      <c r="AO22" s="200">
        <f t="shared" si="19"/>
        <v>-7.3735239723950368E-3</v>
      </c>
    </row>
    <row r="23" spans="1:41" ht="15" thickBot="1" x14ac:dyDescent="0.35">
      <c r="A23" s="39" t="str">
        <f>"Femsa - "&amp;'Femsa DT'!A22:I22</f>
        <v>Femsa - w43</v>
      </c>
      <c r="B23" s="22"/>
      <c r="C23" s="22"/>
      <c r="D23" s="22"/>
      <c r="E23" s="33"/>
      <c r="F23" s="33"/>
      <c r="G23" s="33"/>
      <c r="J23" s="33"/>
      <c r="K23" s="33"/>
      <c r="N23" s="29"/>
      <c r="O23" s="29"/>
    </row>
    <row r="24" spans="1:41" ht="15" thickBot="1" x14ac:dyDescent="0.35">
      <c r="A24" s="30"/>
      <c r="B24" s="312" t="s">
        <v>21</v>
      </c>
      <c r="C24" s="313"/>
      <c r="D24" s="313"/>
      <c r="E24" s="313"/>
      <c r="F24" s="313"/>
      <c r="G24" s="313"/>
      <c r="H24" s="313"/>
      <c r="I24" s="313"/>
      <c r="J24" s="313"/>
      <c r="K24" s="313"/>
      <c r="L24" s="313"/>
      <c r="M24" s="314"/>
      <c r="N24" s="312" t="s">
        <v>22</v>
      </c>
      <c r="O24" s="313"/>
      <c r="P24" s="313"/>
      <c r="Q24" s="314"/>
      <c r="R24" s="312" t="s">
        <v>41</v>
      </c>
      <c r="S24" s="313"/>
      <c r="T24" s="313"/>
      <c r="U24" s="314"/>
      <c r="V24" s="312" t="s">
        <v>23</v>
      </c>
      <c r="W24" s="313"/>
      <c r="X24" s="313"/>
      <c r="Y24" s="314"/>
      <c r="Z24" s="312" t="s">
        <v>40</v>
      </c>
      <c r="AA24" s="313"/>
      <c r="AB24" s="313"/>
      <c r="AC24" s="313"/>
      <c r="AD24" s="313"/>
      <c r="AE24" s="313"/>
      <c r="AF24" s="313"/>
      <c r="AG24" s="314"/>
      <c r="AH24" s="312" t="s">
        <v>24</v>
      </c>
      <c r="AI24" s="313"/>
      <c r="AJ24" s="313"/>
      <c r="AK24" s="314"/>
      <c r="AL24" s="312" t="s">
        <v>25</v>
      </c>
      <c r="AM24" s="313"/>
      <c r="AN24" s="313"/>
      <c r="AO24" s="314"/>
    </row>
    <row r="25" spans="1:41" ht="15" thickBot="1" x14ac:dyDescent="0.35">
      <c r="A25" s="2"/>
      <c r="B25" s="312" t="s">
        <v>68</v>
      </c>
      <c r="C25" s="313"/>
      <c r="D25" s="313"/>
      <c r="E25" s="314"/>
      <c r="F25" s="312" t="s">
        <v>81</v>
      </c>
      <c r="G25" s="313"/>
      <c r="H25" s="313"/>
      <c r="I25" s="314"/>
      <c r="J25" s="312" t="s">
        <v>57</v>
      </c>
      <c r="K25" s="313"/>
      <c r="L25" s="313"/>
      <c r="M25" s="314"/>
      <c r="N25" s="312" t="s">
        <v>20</v>
      </c>
      <c r="O25" s="313"/>
      <c r="P25" s="313"/>
      <c r="Q25" s="314"/>
      <c r="R25" s="312" t="s">
        <v>35</v>
      </c>
      <c r="S25" s="313"/>
      <c r="T25" s="313"/>
      <c r="U25" s="314"/>
      <c r="V25" s="312" t="s">
        <v>113</v>
      </c>
      <c r="W25" s="313"/>
      <c r="X25" s="313"/>
      <c r="Y25" s="314"/>
      <c r="Z25" s="312" t="s">
        <v>84</v>
      </c>
      <c r="AA25" s="313"/>
      <c r="AB25" s="313"/>
      <c r="AC25" s="314"/>
      <c r="AD25" s="312" t="s">
        <v>18</v>
      </c>
      <c r="AE25" s="313"/>
      <c r="AF25" s="313"/>
      <c r="AG25" s="314"/>
      <c r="AH25" s="312" t="s">
        <v>73</v>
      </c>
      <c r="AI25" s="313"/>
      <c r="AJ25" s="313"/>
      <c r="AK25" s="314"/>
      <c r="AL25" s="312" t="s">
        <v>16</v>
      </c>
      <c r="AM25" s="313"/>
      <c r="AN25" s="313"/>
      <c r="AO25" s="314"/>
    </row>
    <row r="26" spans="1:41" x14ac:dyDescent="0.3">
      <c r="A26" s="1"/>
      <c r="B26" s="12">
        <v>2020</v>
      </c>
      <c r="C26" s="13">
        <v>2021</v>
      </c>
      <c r="D26" s="13" t="s">
        <v>12</v>
      </c>
      <c r="E26" s="14" t="s">
        <v>13</v>
      </c>
      <c r="F26" s="12">
        <v>2020</v>
      </c>
      <c r="G26" s="13">
        <v>2021</v>
      </c>
      <c r="H26" s="13" t="s">
        <v>12</v>
      </c>
      <c r="I26" s="14" t="s">
        <v>13</v>
      </c>
      <c r="J26" s="44">
        <v>2020</v>
      </c>
      <c r="K26" s="45">
        <v>2021</v>
      </c>
      <c r="L26" s="45" t="s">
        <v>12</v>
      </c>
      <c r="M26" s="46" t="s">
        <v>13</v>
      </c>
      <c r="N26" s="12">
        <v>2020</v>
      </c>
      <c r="O26" s="13">
        <v>2021</v>
      </c>
      <c r="P26" s="13" t="s">
        <v>12</v>
      </c>
      <c r="Q26" s="14" t="s">
        <v>13</v>
      </c>
      <c r="R26" s="44">
        <v>2020</v>
      </c>
      <c r="S26" s="45">
        <v>2021</v>
      </c>
      <c r="T26" s="45" t="s">
        <v>12</v>
      </c>
      <c r="U26" s="46" t="s">
        <v>13</v>
      </c>
      <c r="V26" s="12">
        <v>2020</v>
      </c>
      <c r="W26" s="13">
        <v>2021</v>
      </c>
      <c r="X26" s="13" t="s">
        <v>12</v>
      </c>
      <c r="Y26" s="14" t="s">
        <v>13</v>
      </c>
      <c r="Z26" s="44">
        <v>2020</v>
      </c>
      <c r="AA26" s="45">
        <v>2021</v>
      </c>
      <c r="AB26" s="45" t="s">
        <v>12</v>
      </c>
      <c r="AC26" s="46" t="s">
        <v>13</v>
      </c>
      <c r="AD26" s="44">
        <v>2020</v>
      </c>
      <c r="AE26" s="45">
        <v>2021</v>
      </c>
      <c r="AF26" s="45" t="s">
        <v>12</v>
      </c>
      <c r="AG26" s="46" t="s">
        <v>13</v>
      </c>
      <c r="AH26" s="12">
        <v>2020</v>
      </c>
      <c r="AI26" s="13">
        <v>2021</v>
      </c>
      <c r="AJ26" s="13" t="s">
        <v>12</v>
      </c>
      <c r="AK26" s="14" t="s">
        <v>13</v>
      </c>
      <c r="AL26" s="12">
        <v>2020</v>
      </c>
      <c r="AM26" s="13">
        <v>2021</v>
      </c>
      <c r="AN26" s="13" t="s">
        <v>12</v>
      </c>
      <c r="AO26" s="14" t="s">
        <v>13</v>
      </c>
    </row>
    <row r="27" spans="1:41" x14ac:dyDescent="0.3">
      <c r="A27" s="1" t="s">
        <v>0</v>
      </c>
      <c r="B27" s="23">
        <v>25</v>
      </c>
      <c r="C27" s="24">
        <v>24</v>
      </c>
      <c r="D27" s="24">
        <f>C27-B27</f>
        <v>-1</v>
      </c>
      <c r="E27" s="17">
        <f>(C27-B27)/B27</f>
        <v>-0.04</v>
      </c>
      <c r="F27" s="15">
        <v>0.83035714275000005</v>
      </c>
      <c r="G27" s="16">
        <v>0.80952380925</v>
      </c>
      <c r="H27" s="16">
        <f>G27-F27</f>
        <v>-2.0833333500000051E-2</v>
      </c>
      <c r="I27" s="17">
        <f>(G27-F27)/F27</f>
        <v>-2.50896059387213E-2</v>
      </c>
      <c r="J27" s="76">
        <v>21</v>
      </c>
      <c r="K27" s="77">
        <v>20</v>
      </c>
      <c r="L27" s="77">
        <f>K27-J27</f>
        <v>-1</v>
      </c>
      <c r="M27" s="50">
        <f>(K27-J27)/J27</f>
        <v>-4.7619047619047616E-2</v>
      </c>
      <c r="N27" s="23">
        <v>676607.80752499995</v>
      </c>
      <c r="O27" s="24">
        <v>662382.79539999994</v>
      </c>
      <c r="P27" s="24">
        <f>O27-N27</f>
        <v>-14225.012125000008</v>
      </c>
      <c r="Q27" s="17">
        <f>(O27-N27)/N27</f>
        <v>-2.1024014158267615E-2</v>
      </c>
      <c r="R27" s="47">
        <v>2.9062409093474573E-2</v>
      </c>
      <c r="S27" s="48">
        <v>2.2528949260559816E-2</v>
      </c>
      <c r="T27" s="49">
        <f>S27-R27</f>
        <v>-6.5334598329147564E-3</v>
      </c>
      <c r="U27" s="50">
        <f>(S27-R27)/R27</f>
        <v>-0.22480792324892723</v>
      </c>
      <c r="V27" s="15">
        <v>156.6838693</v>
      </c>
      <c r="W27" s="16">
        <v>146.48284720000001</v>
      </c>
      <c r="X27" s="16">
        <f>W27-V27</f>
        <v>-10.201022099999989</v>
      </c>
      <c r="Y27" s="17">
        <f>(W27-V27)/V27</f>
        <v>-6.5105758145838619E-2</v>
      </c>
      <c r="Z27" s="55">
        <v>220.06549600419601</v>
      </c>
      <c r="AA27" s="49">
        <v>311.002489630794</v>
      </c>
      <c r="AB27" s="49">
        <f t="shared" ref="AB27:AB38" si="20">AA27-Z27</f>
        <v>90.936993626597996</v>
      </c>
      <c r="AC27" s="50">
        <f t="shared" ref="AC27:AC38" si="21">(AA27-Z27)/Z27</f>
        <v>0.4132269496026042</v>
      </c>
      <c r="AD27" s="55">
        <v>1.4045191564898301</v>
      </c>
      <c r="AE27" s="49">
        <v>2.12313247312039</v>
      </c>
      <c r="AF27" s="49">
        <f>AE27-AD27</f>
        <v>0.71861331663055994</v>
      </c>
      <c r="AG27" s="50">
        <f>(AE27-AD27)/AD27</f>
        <v>0.51164365634322573</v>
      </c>
      <c r="AH27" s="15">
        <v>1.3133274260000001</v>
      </c>
      <c r="AI27" s="16">
        <v>1.35803987</v>
      </c>
      <c r="AJ27" s="16">
        <f>AI27-AH27</f>
        <v>4.4712443999999962E-2</v>
      </c>
      <c r="AK27" s="17">
        <f>(AI27-AH27)/AH27</f>
        <v>3.4045161255925799E-2</v>
      </c>
      <c r="AL27" s="15">
        <v>29.076818880000001</v>
      </c>
      <c r="AM27" s="16">
        <v>29.575972924999999</v>
      </c>
      <c r="AN27" s="16">
        <f>AM27-AL27</f>
        <v>0.49915404499999738</v>
      </c>
      <c r="AO27" s="17">
        <f>(AM27-AL27)/AL27</f>
        <v>1.7166735022149621E-2</v>
      </c>
    </row>
    <row r="28" spans="1:41" x14ac:dyDescent="0.3">
      <c r="A28" s="1" t="s">
        <v>1</v>
      </c>
      <c r="B28" s="23">
        <v>28</v>
      </c>
      <c r="C28" s="24">
        <v>28</v>
      </c>
      <c r="D28" s="24">
        <f t="shared" ref="D28:D38" si="22">C28-B28</f>
        <v>0</v>
      </c>
      <c r="E28" s="17">
        <f t="shared" ref="E28:E38" si="23">(C28-B28)/B28</f>
        <v>0</v>
      </c>
      <c r="F28" s="15">
        <v>0.85714285700000004</v>
      </c>
      <c r="G28" s="16">
        <v>0.85714285700000004</v>
      </c>
      <c r="H28" s="16">
        <f t="shared" ref="H28:H38" si="24">G28-F28</f>
        <v>0</v>
      </c>
      <c r="I28" s="17">
        <f t="shared" ref="I28:I38" si="25">(G28-F28)/F28</f>
        <v>0</v>
      </c>
      <c r="J28" s="76">
        <v>24</v>
      </c>
      <c r="K28" s="77">
        <v>24</v>
      </c>
      <c r="L28" s="77">
        <f t="shared" ref="L28:L38" si="26">K28-J28</f>
        <v>0</v>
      </c>
      <c r="M28" s="50">
        <f t="shared" ref="M28:M38" si="27">(K28-J28)/J28</f>
        <v>0</v>
      </c>
      <c r="N28" s="23">
        <v>665787.47360000003</v>
      </c>
      <c r="O28" s="24">
        <v>631271.10129999998</v>
      </c>
      <c r="P28" s="24">
        <f t="shared" ref="P28:P38" si="28">O28-N28</f>
        <v>-34516.372300000046</v>
      </c>
      <c r="Q28" s="17">
        <f t="shared" ref="Q28:Q38" si="29">(O28-N28)/N28</f>
        <v>-5.1842928364761058E-2</v>
      </c>
      <c r="R28" s="47">
        <v>3.7656221899571962E-2</v>
      </c>
      <c r="S28" s="48">
        <v>2.0136293736429556E-2</v>
      </c>
      <c r="T28" s="49">
        <f t="shared" ref="T28:T38" si="30">S28-R28</f>
        <v>-1.7519928163142406E-2</v>
      </c>
      <c r="U28" s="50">
        <f t="shared" ref="U28:U38" si="31">(S28-R28)/R28</f>
        <v>-0.46525985028098515</v>
      </c>
      <c r="V28" s="15">
        <v>159.35173710000001</v>
      </c>
      <c r="W28" s="16">
        <v>146.4460579</v>
      </c>
      <c r="X28" s="16">
        <f t="shared" ref="X28:X38" si="32">W28-V28</f>
        <v>-12.905679200000009</v>
      </c>
      <c r="Y28" s="17">
        <f t="shared" ref="Y28:Y38" si="33">(W28-V28)/V28</f>
        <v>-8.0988632034184507E-2</v>
      </c>
      <c r="Z28" s="55">
        <v>229.85550665909599</v>
      </c>
      <c r="AA28" s="49">
        <v>325.22690264209001</v>
      </c>
      <c r="AB28" s="49">
        <f t="shared" si="20"/>
        <v>95.371395982994017</v>
      </c>
      <c r="AC28" s="50">
        <f t="shared" si="21"/>
        <v>0.41491890870572673</v>
      </c>
      <c r="AD28" s="55">
        <v>1.44244117371506</v>
      </c>
      <c r="AE28" s="49">
        <v>2.2207965668839198</v>
      </c>
      <c r="AF28" s="49">
        <f t="shared" ref="AF28:AF38" si="34">AE28-AD28</f>
        <v>0.77835539316885982</v>
      </c>
      <c r="AG28" s="50">
        <f t="shared" ref="AG28:AG38" si="35">(AE28-AD28)/AD28</f>
        <v>0.53960979993671221</v>
      </c>
      <c r="AH28" s="15">
        <v>1.358654775</v>
      </c>
      <c r="AI28" s="16">
        <v>1.3961779679999999</v>
      </c>
      <c r="AJ28" s="16">
        <f t="shared" ref="AJ28:AJ38" si="36">AI28-AH28</f>
        <v>3.7523192999999955E-2</v>
      </c>
      <c r="AK28" s="17">
        <f t="shared" ref="AK28:AK38" si="37">(AI28-AH28)/AH28</f>
        <v>2.7617900949120762E-2</v>
      </c>
      <c r="AL28" s="15">
        <v>30.695332672500001</v>
      </c>
      <c r="AM28" s="16">
        <v>30.495928785</v>
      </c>
      <c r="AN28" s="16">
        <f t="shared" ref="AN28:AN38" si="38">AM28-AL28</f>
        <v>-0.19940388750000082</v>
      </c>
      <c r="AO28" s="17">
        <f t="shared" ref="AO28:AO38" si="39">(AM28-AL28)/AL28</f>
        <v>-6.4962282581366871E-3</v>
      </c>
    </row>
    <row r="29" spans="1:41" x14ac:dyDescent="0.3">
      <c r="A29" s="1" t="s">
        <v>2</v>
      </c>
      <c r="B29" s="23">
        <v>35</v>
      </c>
      <c r="C29" s="24">
        <v>35</v>
      </c>
      <c r="D29" s="24">
        <f t="shared" si="22"/>
        <v>0</v>
      </c>
      <c r="E29" s="17">
        <f t="shared" si="23"/>
        <v>0</v>
      </c>
      <c r="F29" s="15">
        <v>0.77142857119999997</v>
      </c>
      <c r="G29" s="16">
        <v>0.74285714260000002</v>
      </c>
      <c r="H29" s="16">
        <f t="shared" si="24"/>
        <v>-2.8571428599999948E-2</v>
      </c>
      <c r="I29" s="17">
        <f t="shared" si="25"/>
        <v>-3.7037037085047943E-2</v>
      </c>
      <c r="J29" s="76">
        <v>27</v>
      </c>
      <c r="K29" s="77">
        <v>26</v>
      </c>
      <c r="L29" s="77">
        <f t="shared" si="26"/>
        <v>-1</v>
      </c>
      <c r="M29" s="50">
        <f t="shared" si="27"/>
        <v>-3.7037037037037035E-2</v>
      </c>
      <c r="N29" s="23">
        <v>665787.47360000003</v>
      </c>
      <c r="O29" s="24">
        <v>631271.10129999998</v>
      </c>
      <c r="P29" s="24">
        <f t="shared" si="28"/>
        <v>-34516.372300000046</v>
      </c>
      <c r="Q29" s="17">
        <f t="shared" si="29"/>
        <v>-5.1842928364761058E-2</v>
      </c>
      <c r="R29" s="47">
        <v>4.6795401882895993E-2</v>
      </c>
      <c r="S29" s="48">
        <v>3.3434686436722538E-2</v>
      </c>
      <c r="T29" s="49">
        <f t="shared" si="30"/>
        <v>-1.3360715446173455E-2</v>
      </c>
      <c r="U29" s="50">
        <f t="shared" si="31"/>
        <v>-0.28551342457979567</v>
      </c>
      <c r="V29" s="15">
        <v>161.18634979999999</v>
      </c>
      <c r="W29" s="16">
        <v>146.57497280000001</v>
      </c>
      <c r="X29" s="16">
        <f t="shared" si="32"/>
        <v>-14.611376999999976</v>
      </c>
      <c r="Y29" s="17">
        <f t="shared" si="33"/>
        <v>-9.0648972559585664E-2</v>
      </c>
      <c r="Z29" s="55">
        <v>240.87189332751001</v>
      </c>
      <c r="AA29" s="49">
        <v>333</v>
      </c>
      <c r="AB29" s="49">
        <f t="shared" si="20"/>
        <v>92.128106672489992</v>
      </c>
      <c r="AC29" s="50">
        <f t="shared" si="21"/>
        <v>0.38247761247604239</v>
      </c>
      <c r="AD29" s="55">
        <v>1.4943690559688001</v>
      </c>
      <c r="AE29" s="49">
        <v>2.2718748879222499</v>
      </c>
      <c r="AF29" s="49">
        <f t="shared" si="34"/>
        <v>0.7775058319534498</v>
      </c>
      <c r="AG29" s="50">
        <f t="shared" si="35"/>
        <v>0.52029037194523042</v>
      </c>
      <c r="AH29" s="15">
        <v>1.3757083429999999</v>
      </c>
      <c r="AI29" s="16">
        <v>1.402962644</v>
      </c>
      <c r="AJ29" s="16">
        <f t="shared" si="36"/>
        <v>2.7254301000000147E-2</v>
      </c>
      <c r="AK29" s="17">
        <f t="shared" si="37"/>
        <v>1.9811103958682724E-2</v>
      </c>
      <c r="AL29" s="15">
        <v>25.659920110000002</v>
      </c>
      <c r="AM29" s="16">
        <v>28.410742372000001</v>
      </c>
      <c r="AN29" s="16">
        <f t="shared" si="38"/>
        <v>2.7508222619999998</v>
      </c>
      <c r="AO29" s="17">
        <f t="shared" si="39"/>
        <v>0.10720307195843408</v>
      </c>
    </row>
    <row r="30" spans="1:41" x14ac:dyDescent="0.3">
      <c r="A30" s="1" t="s">
        <v>3</v>
      </c>
      <c r="B30" s="23">
        <v>28</v>
      </c>
      <c r="C30" s="24">
        <v>28</v>
      </c>
      <c r="D30" s="24">
        <f t="shared" si="22"/>
        <v>0</v>
      </c>
      <c r="E30" s="17">
        <f t="shared" si="23"/>
        <v>0</v>
      </c>
      <c r="F30" s="15">
        <v>0.7857142855</v>
      </c>
      <c r="G30" s="16">
        <v>0.74999999974999998</v>
      </c>
      <c r="H30" s="16">
        <f t="shared" si="24"/>
        <v>-3.5714285750000019E-2</v>
      </c>
      <c r="I30" s="17">
        <f t="shared" si="25"/>
        <v>-4.5454545512396721E-2</v>
      </c>
      <c r="J30" s="76">
        <v>22</v>
      </c>
      <c r="K30" s="77">
        <v>21</v>
      </c>
      <c r="L30" s="77">
        <f t="shared" si="26"/>
        <v>-1</v>
      </c>
      <c r="M30" s="50">
        <f t="shared" si="27"/>
        <v>-4.5454545454545456E-2</v>
      </c>
      <c r="N30" s="23">
        <v>686775.80642499996</v>
      </c>
      <c r="O30" s="24">
        <v>625107.850125</v>
      </c>
      <c r="P30" s="24">
        <f t="shared" si="28"/>
        <v>-61667.956299999962</v>
      </c>
      <c r="Q30" s="17">
        <f t="shared" si="29"/>
        <v>-8.9793431456200362E-2</v>
      </c>
      <c r="R30" s="47">
        <v>3.444697949233122E-2</v>
      </c>
      <c r="S30" s="48">
        <v>1.4965725908725691E-2</v>
      </c>
      <c r="T30" s="49">
        <f t="shared" si="30"/>
        <v>-1.9481253583605529E-2</v>
      </c>
      <c r="U30" s="50">
        <f t="shared" si="31"/>
        <v>-0.56554315852112824</v>
      </c>
      <c r="V30" s="15">
        <v>162.6717428</v>
      </c>
      <c r="W30" s="16">
        <v>145.42648600000001</v>
      </c>
      <c r="X30" s="16">
        <f t="shared" si="32"/>
        <v>-17.245256799999993</v>
      </c>
      <c r="Y30" s="17">
        <f t="shared" si="33"/>
        <v>-0.10601261474897036</v>
      </c>
      <c r="Z30" s="55">
        <v>249.89818410419699</v>
      </c>
      <c r="AA30" s="49">
        <v>329.73</v>
      </c>
      <c r="AB30" s="49">
        <f t="shared" si="20"/>
        <v>79.831815895803032</v>
      </c>
      <c r="AC30" s="50">
        <f t="shared" si="21"/>
        <v>0.31945736693515364</v>
      </c>
      <c r="AD30" s="55">
        <v>1.53621138953592</v>
      </c>
      <c r="AE30" s="49">
        <v>2.2673311381464099</v>
      </c>
      <c r="AF30" s="49">
        <f t="shared" si="34"/>
        <v>0.73111974861048989</v>
      </c>
      <c r="AG30" s="50">
        <f t="shared" si="35"/>
        <v>0.47592392140209083</v>
      </c>
      <c r="AH30" s="15">
        <v>1.4203940500000001</v>
      </c>
      <c r="AI30" s="16">
        <v>1.424453435</v>
      </c>
      <c r="AJ30" s="16">
        <f t="shared" si="36"/>
        <v>4.0593849999999154E-3</v>
      </c>
      <c r="AK30" s="17">
        <f t="shared" si="37"/>
        <v>2.8579287557561335E-3</v>
      </c>
      <c r="AL30" s="15">
        <v>25.399591359999999</v>
      </c>
      <c r="AM30" s="16">
        <v>23.35984667</v>
      </c>
      <c r="AN30" s="16">
        <f t="shared" si="38"/>
        <v>-2.0397446899999991</v>
      </c>
      <c r="AO30" s="17">
        <f t="shared" si="39"/>
        <v>-8.0306201036456332E-2</v>
      </c>
    </row>
    <row r="31" spans="1:41" x14ac:dyDescent="0.3">
      <c r="A31" s="1" t="s">
        <v>4</v>
      </c>
      <c r="B31" s="23">
        <v>28</v>
      </c>
      <c r="C31" s="24">
        <v>28</v>
      </c>
      <c r="D31" s="24">
        <f t="shared" si="22"/>
        <v>0</v>
      </c>
      <c r="E31" s="17">
        <f t="shared" si="23"/>
        <v>0</v>
      </c>
      <c r="F31" s="15">
        <v>0.7857142855</v>
      </c>
      <c r="G31" s="16">
        <v>0.82142857125000002</v>
      </c>
      <c r="H31" s="16">
        <f t="shared" si="24"/>
        <v>3.5714285750000019E-2</v>
      </c>
      <c r="I31" s="17">
        <f t="shared" si="25"/>
        <v>4.5454545512396721E-2</v>
      </c>
      <c r="J31" s="76">
        <v>22</v>
      </c>
      <c r="K31" s="77">
        <v>23</v>
      </c>
      <c r="L31" s="77">
        <f t="shared" si="26"/>
        <v>1</v>
      </c>
      <c r="M31" s="50">
        <f t="shared" si="27"/>
        <v>4.5454545454545456E-2</v>
      </c>
      <c r="N31" s="23">
        <v>749740.80489999999</v>
      </c>
      <c r="O31" s="24">
        <v>606618.09660000005</v>
      </c>
      <c r="P31" s="24">
        <f t="shared" si="28"/>
        <v>-143122.70829999994</v>
      </c>
      <c r="Q31" s="17">
        <f t="shared" si="29"/>
        <v>-0.190896250230224</v>
      </c>
      <c r="R31" s="47">
        <v>3.0590696999836187E-2</v>
      </c>
      <c r="S31" s="48">
        <v>1.5427362512386189E-2</v>
      </c>
      <c r="T31" s="49">
        <f t="shared" si="30"/>
        <v>-1.5163334487449998E-2</v>
      </c>
      <c r="U31" s="50">
        <f t="shared" si="31"/>
        <v>-0.49568450459076485</v>
      </c>
      <c r="V31" s="15">
        <v>157.9990449</v>
      </c>
      <c r="W31" s="16">
        <v>144.80754390000001</v>
      </c>
      <c r="X31" s="16">
        <f t="shared" si="32"/>
        <v>-13.191500999999988</v>
      </c>
      <c r="Y31" s="17">
        <f t="shared" si="33"/>
        <v>-8.3491017356143449E-2</v>
      </c>
      <c r="Z31" s="55">
        <v>252.91416945905999</v>
      </c>
      <c r="AA31" s="49">
        <v>327.67</v>
      </c>
      <c r="AB31" s="49">
        <f t="shared" si="20"/>
        <v>74.755830540940025</v>
      </c>
      <c r="AC31" s="50">
        <f t="shared" si="21"/>
        <v>0.29557786620192106</v>
      </c>
      <c r="AD31" s="55">
        <v>1.60073226789643</v>
      </c>
      <c r="AE31" s="49">
        <v>2.26279647587012</v>
      </c>
      <c r="AF31" s="49">
        <f t="shared" si="34"/>
        <v>0.66206420797369003</v>
      </c>
      <c r="AG31" s="50">
        <f t="shared" si="35"/>
        <v>0.41360083834864425</v>
      </c>
      <c r="AH31" s="15">
        <v>1.396731181</v>
      </c>
      <c r="AI31" s="16">
        <v>1.443185443</v>
      </c>
      <c r="AJ31" s="16">
        <f t="shared" si="36"/>
        <v>4.6454261999999913E-2</v>
      </c>
      <c r="AK31" s="17">
        <f t="shared" si="37"/>
        <v>3.3259271814022683E-2</v>
      </c>
      <c r="AL31" s="15">
        <v>21.331933772500001</v>
      </c>
      <c r="AM31" s="16">
        <v>21.5838451525</v>
      </c>
      <c r="AN31" s="16">
        <f t="shared" si="38"/>
        <v>0.25191137999999924</v>
      </c>
      <c r="AO31" s="17">
        <f t="shared" si="39"/>
        <v>1.1809120667941977E-2</v>
      </c>
    </row>
    <row r="32" spans="1:41" x14ac:dyDescent="0.3">
      <c r="A32" s="1" t="s">
        <v>5</v>
      </c>
      <c r="B32" s="23">
        <v>35</v>
      </c>
      <c r="C32" s="24">
        <v>35</v>
      </c>
      <c r="D32" s="24">
        <f t="shared" si="22"/>
        <v>0</v>
      </c>
      <c r="E32" s="17">
        <f t="shared" si="23"/>
        <v>0</v>
      </c>
      <c r="F32" s="15">
        <v>0.74285714260000002</v>
      </c>
      <c r="G32" s="16">
        <v>0.77142857119999997</v>
      </c>
      <c r="H32" s="16">
        <f t="shared" si="24"/>
        <v>2.8571428599999948E-2</v>
      </c>
      <c r="I32" s="17">
        <f t="shared" si="25"/>
        <v>3.8461538513313541E-2</v>
      </c>
      <c r="J32" s="76">
        <v>26</v>
      </c>
      <c r="K32" s="77">
        <v>27</v>
      </c>
      <c r="L32" s="77">
        <f t="shared" si="26"/>
        <v>1</v>
      </c>
      <c r="M32" s="50">
        <f t="shared" si="27"/>
        <v>3.8461538461538464E-2</v>
      </c>
      <c r="N32" s="23">
        <v>749740.80489999999</v>
      </c>
      <c r="O32" s="24">
        <v>606618.09660000005</v>
      </c>
      <c r="P32" s="24">
        <f t="shared" si="28"/>
        <v>-143122.70829999994</v>
      </c>
      <c r="Q32" s="17">
        <f t="shared" si="29"/>
        <v>-0.190896250230224</v>
      </c>
      <c r="R32" s="47">
        <v>2.7180054023995259E-2</v>
      </c>
      <c r="S32" s="48">
        <v>2.2435391591276943E-2</v>
      </c>
      <c r="T32" s="49">
        <f t="shared" si="30"/>
        <v>-4.7446624327183162E-3</v>
      </c>
      <c r="U32" s="50">
        <f t="shared" si="31"/>
        <v>-0.17456412811135713</v>
      </c>
      <c r="V32" s="15">
        <v>156.82875920000001</v>
      </c>
      <c r="W32" s="16">
        <v>144.662881</v>
      </c>
      <c r="X32" s="16">
        <f t="shared" si="32"/>
        <v>-12.165878200000009</v>
      </c>
      <c r="Y32" s="17">
        <f t="shared" si="33"/>
        <v>-7.7574280776430499E-2</v>
      </c>
      <c r="Z32" s="55">
        <v>257.56791764419899</v>
      </c>
      <c r="AA32" s="49">
        <v>327.67</v>
      </c>
      <c r="AB32" s="49">
        <f t="shared" si="20"/>
        <v>70.102082355801031</v>
      </c>
      <c r="AC32" s="50">
        <f t="shared" si="21"/>
        <v>0.2721693097377102</v>
      </c>
      <c r="AD32" s="55">
        <v>1.6423513068617399</v>
      </c>
      <c r="AE32" s="49">
        <v>2.2650592723459901</v>
      </c>
      <c r="AF32" s="49">
        <f t="shared" si="34"/>
        <v>0.62270796548425023</v>
      </c>
      <c r="AG32" s="50">
        <f t="shared" si="35"/>
        <v>0.37915637347659897</v>
      </c>
      <c r="AH32" s="15">
        <v>1.397617221</v>
      </c>
      <c r="AI32" s="16">
        <v>1.443185443</v>
      </c>
      <c r="AJ32" s="16">
        <f t="shared" si="36"/>
        <v>4.5568221999999992E-2</v>
      </c>
      <c r="AK32" s="17">
        <f t="shared" si="37"/>
        <v>3.2604221896604689E-2</v>
      </c>
      <c r="AL32" s="15">
        <v>18.186942785999999</v>
      </c>
      <c r="AM32" s="16">
        <v>17.610783993999998</v>
      </c>
      <c r="AN32" s="16">
        <f t="shared" si="38"/>
        <v>-0.57615879200000109</v>
      </c>
      <c r="AO32" s="17">
        <f t="shared" si="39"/>
        <v>-3.1679804504774624E-2</v>
      </c>
    </row>
    <row r="33" spans="1:41" x14ac:dyDescent="0.3">
      <c r="A33" s="1" t="s">
        <v>6</v>
      </c>
      <c r="B33" s="23">
        <v>28</v>
      </c>
      <c r="C33" s="24">
        <v>28</v>
      </c>
      <c r="D33" s="24">
        <f t="shared" si="22"/>
        <v>0</v>
      </c>
      <c r="E33" s="17">
        <f t="shared" si="23"/>
        <v>0</v>
      </c>
      <c r="F33" s="15">
        <v>0.7857142855</v>
      </c>
      <c r="G33" s="16">
        <v>0.7857142855</v>
      </c>
      <c r="H33" s="16">
        <f t="shared" si="24"/>
        <v>0</v>
      </c>
      <c r="I33" s="17">
        <f t="shared" si="25"/>
        <v>0</v>
      </c>
      <c r="J33" s="76">
        <v>22</v>
      </c>
      <c r="K33" s="77">
        <v>22</v>
      </c>
      <c r="L33" s="77">
        <f t="shared" si="26"/>
        <v>0</v>
      </c>
      <c r="M33" s="50">
        <f t="shared" si="27"/>
        <v>0</v>
      </c>
      <c r="N33" s="23">
        <v>732789.16012500005</v>
      </c>
      <c r="O33" s="24">
        <v>602561.31547499995</v>
      </c>
      <c r="P33" s="24">
        <f t="shared" si="28"/>
        <v>-130227.8446500001</v>
      </c>
      <c r="Q33" s="17">
        <f t="shared" si="29"/>
        <v>-0.17771529893780863</v>
      </c>
      <c r="R33" s="47">
        <v>2.1978655386921009E-2</v>
      </c>
      <c r="S33" s="48">
        <v>1.9341946456512993E-2</v>
      </c>
      <c r="T33" s="49">
        <f t="shared" si="30"/>
        <v>-2.636708930408016E-3</v>
      </c>
      <c r="U33" s="50">
        <f t="shared" si="31"/>
        <v>-0.11996679887783585</v>
      </c>
      <c r="V33" s="15">
        <v>152.3631661</v>
      </c>
      <c r="W33" s="16">
        <v>142.80639780000001</v>
      </c>
      <c r="X33" s="16">
        <f t="shared" si="32"/>
        <v>-9.5567682999999874</v>
      </c>
      <c r="Y33" s="17">
        <f t="shared" si="33"/>
        <v>-6.2723613223734306E-2</v>
      </c>
      <c r="Z33" s="55">
        <v>260.99390024793098</v>
      </c>
      <c r="AA33" s="49">
        <v>327.67</v>
      </c>
      <c r="AB33" s="49">
        <f t="shared" si="20"/>
        <v>66.676099752069035</v>
      </c>
      <c r="AC33" s="50">
        <f t="shared" si="21"/>
        <v>0.25546995423544427</v>
      </c>
      <c r="AD33" s="55">
        <v>1.7129724130568</v>
      </c>
      <c r="AE33" s="49">
        <v>2.2945050428864802</v>
      </c>
      <c r="AF33" s="49">
        <f t="shared" si="34"/>
        <v>0.58153262982968013</v>
      </c>
      <c r="AG33" s="50">
        <f t="shared" si="35"/>
        <v>0.33948744614744547</v>
      </c>
      <c r="AH33" s="15">
        <v>1.409094802</v>
      </c>
      <c r="AI33" s="16">
        <v>1.443185443</v>
      </c>
      <c r="AJ33" s="16">
        <f t="shared" si="36"/>
        <v>3.4090640999999922E-2</v>
      </c>
      <c r="AK33" s="17">
        <f t="shared" si="37"/>
        <v>2.4193291289992227E-2</v>
      </c>
      <c r="AL33" s="15">
        <v>15.602646267500001</v>
      </c>
      <c r="AM33" s="16">
        <v>14.9257732225</v>
      </c>
      <c r="AN33" s="16">
        <f t="shared" si="38"/>
        <v>-0.67687304500000067</v>
      </c>
      <c r="AO33" s="17">
        <f t="shared" si="39"/>
        <v>-4.3381938768291738E-2</v>
      </c>
    </row>
    <row r="34" spans="1:41" x14ac:dyDescent="0.3">
      <c r="A34" s="1" t="s">
        <v>7</v>
      </c>
      <c r="B34" s="23">
        <v>28</v>
      </c>
      <c r="C34" s="24">
        <v>28</v>
      </c>
      <c r="D34" s="24">
        <f t="shared" si="22"/>
        <v>0</v>
      </c>
      <c r="E34" s="17">
        <f t="shared" si="23"/>
        <v>0</v>
      </c>
      <c r="F34" s="15">
        <v>0.82142857125000002</v>
      </c>
      <c r="G34" s="16">
        <v>0.82142857125000002</v>
      </c>
      <c r="H34" s="16">
        <f t="shared" si="24"/>
        <v>0</v>
      </c>
      <c r="I34" s="17">
        <f t="shared" si="25"/>
        <v>0</v>
      </c>
      <c r="J34" s="76">
        <v>23</v>
      </c>
      <c r="K34" s="77">
        <v>23</v>
      </c>
      <c r="L34" s="77">
        <f t="shared" si="26"/>
        <v>0</v>
      </c>
      <c r="M34" s="50">
        <f t="shared" si="27"/>
        <v>0</v>
      </c>
      <c r="N34" s="23">
        <v>681934.22580000001</v>
      </c>
      <c r="O34" s="24">
        <v>590390.97210000001</v>
      </c>
      <c r="P34" s="24">
        <f t="shared" si="28"/>
        <v>-91543.253700000001</v>
      </c>
      <c r="Q34" s="17">
        <f t="shared" si="29"/>
        <v>-0.13424059130132018</v>
      </c>
      <c r="R34" s="47">
        <v>3.9539857870486861E-2</v>
      </c>
      <c r="S34" s="48">
        <v>2.7001103590661213E-2</v>
      </c>
      <c r="T34" s="49">
        <f t="shared" si="30"/>
        <v>-1.2538754279825648E-2</v>
      </c>
      <c r="U34" s="50">
        <f t="shared" si="31"/>
        <v>-0.31711682730111079</v>
      </c>
      <c r="V34" s="15">
        <v>152.30798010000001</v>
      </c>
      <c r="W34" s="16">
        <v>141.89066750000001</v>
      </c>
      <c r="X34" s="16">
        <f t="shared" si="32"/>
        <v>-10.417312600000002</v>
      </c>
      <c r="Y34" s="17">
        <f t="shared" si="33"/>
        <v>-6.8396367630641317E-2</v>
      </c>
      <c r="Z34" s="55">
        <v>268.20455056031398</v>
      </c>
      <c r="AA34" s="49">
        <v>332.08022926806399</v>
      </c>
      <c r="AB34" s="49">
        <f t="shared" si="20"/>
        <v>63.875678707750012</v>
      </c>
      <c r="AC34" s="50">
        <f t="shared" si="21"/>
        <v>0.23816030926509435</v>
      </c>
      <c r="AD34" s="55">
        <v>1.7609356406223899</v>
      </c>
      <c r="AE34" s="49">
        <v>2.3403951437442099</v>
      </c>
      <c r="AF34" s="49">
        <f t="shared" si="34"/>
        <v>0.57945950312181993</v>
      </c>
      <c r="AG34" s="50">
        <f t="shared" si="35"/>
        <v>0.32906341932917788</v>
      </c>
      <c r="AH34" s="15">
        <v>1.3994480970000001</v>
      </c>
      <c r="AI34" s="16">
        <v>1.445476832</v>
      </c>
      <c r="AJ34" s="16">
        <f t="shared" si="36"/>
        <v>4.6028734999999932E-2</v>
      </c>
      <c r="AK34" s="17">
        <f t="shared" si="37"/>
        <v>3.2890633885366546E-2</v>
      </c>
      <c r="AL34" s="15">
        <v>16.127424550000001</v>
      </c>
      <c r="AM34" s="16">
        <v>18.11820084</v>
      </c>
      <c r="AN34" s="16">
        <f t="shared" si="38"/>
        <v>1.9907762899999994</v>
      </c>
      <c r="AO34" s="17">
        <f t="shared" si="39"/>
        <v>0.12344043426326241</v>
      </c>
    </row>
    <row r="35" spans="1:41" x14ac:dyDescent="0.3">
      <c r="A35" s="1" t="s">
        <v>8</v>
      </c>
      <c r="B35" s="23">
        <v>35</v>
      </c>
      <c r="C35" s="24">
        <v>35</v>
      </c>
      <c r="D35" s="24">
        <f t="shared" si="22"/>
        <v>0</v>
      </c>
      <c r="E35" s="17">
        <f t="shared" si="23"/>
        <v>0</v>
      </c>
      <c r="F35" s="15">
        <v>0.82857142839999998</v>
      </c>
      <c r="G35" s="16">
        <v>0.85714285700000004</v>
      </c>
      <c r="H35" s="16">
        <f t="shared" si="24"/>
        <v>2.8571428600000059E-2</v>
      </c>
      <c r="I35" s="17">
        <f t="shared" si="25"/>
        <v>3.448275866230685E-2</v>
      </c>
      <c r="J35" s="76">
        <v>29</v>
      </c>
      <c r="K35" s="77">
        <v>30</v>
      </c>
      <c r="L35" s="77">
        <f t="shared" si="26"/>
        <v>1</v>
      </c>
      <c r="M35" s="50">
        <f t="shared" si="27"/>
        <v>3.4482758620689655E-2</v>
      </c>
      <c r="N35" s="23">
        <v>681934.22580000001</v>
      </c>
      <c r="O35" s="24">
        <v>590390.97210000001</v>
      </c>
      <c r="P35" s="24">
        <f t="shared" si="28"/>
        <v>-91543.253700000001</v>
      </c>
      <c r="Q35" s="17">
        <f t="shared" si="29"/>
        <v>-0.13424059130132018</v>
      </c>
      <c r="R35" s="47">
        <v>5.8856622721223051E-2</v>
      </c>
      <c r="S35" s="48">
        <v>2.7420895087100002E-2</v>
      </c>
      <c r="T35" s="49">
        <f t="shared" si="30"/>
        <v>-3.1435727634123049E-2</v>
      </c>
      <c r="U35" s="50">
        <f t="shared" si="31"/>
        <v>-0.53410688858278088</v>
      </c>
      <c r="V35" s="15">
        <v>157.38361019999999</v>
      </c>
      <c r="W35" s="16">
        <v>143.68675189999999</v>
      </c>
      <c r="X35" s="16">
        <f t="shared" si="32"/>
        <v>-13.696858300000002</v>
      </c>
      <c r="Y35" s="17">
        <f t="shared" si="33"/>
        <v>-8.702849224639278E-2</v>
      </c>
      <c r="Z35" s="55">
        <v>284.34811100780502</v>
      </c>
      <c r="AA35" s="49">
        <v>345.36343843878598</v>
      </c>
      <c r="AB35" s="49">
        <f t="shared" si="20"/>
        <v>61.01532743098096</v>
      </c>
      <c r="AC35" s="50">
        <f t="shared" si="21"/>
        <v>0.21457968268094513</v>
      </c>
      <c r="AD35" s="55">
        <v>1.8067199672785701</v>
      </c>
      <c r="AE35" s="49">
        <v>2.4035858126253098</v>
      </c>
      <c r="AF35" s="49">
        <f t="shared" si="34"/>
        <v>0.5968658453467397</v>
      </c>
      <c r="AG35" s="50">
        <f t="shared" si="35"/>
        <v>0.33035880277882135</v>
      </c>
      <c r="AH35" s="15">
        <v>1.4129937509999999</v>
      </c>
      <c r="AI35" s="16">
        <v>1.4521434520000001</v>
      </c>
      <c r="AJ35" s="16">
        <f t="shared" si="36"/>
        <v>3.9149701000000148E-2</v>
      </c>
      <c r="AK35" s="17">
        <f t="shared" si="37"/>
        <v>2.77069172969047E-2</v>
      </c>
      <c r="AL35" s="15">
        <v>20.204379377999999</v>
      </c>
      <c r="AM35" s="16">
        <v>19.100297334</v>
      </c>
      <c r="AN35" s="16">
        <f t="shared" si="38"/>
        <v>-1.1040820439999983</v>
      </c>
      <c r="AO35" s="17">
        <f t="shared" si="39"/>
        <v>-5.4645679698640155E-2</v>
      </c>
    </row>
    <row r="36" spans="1:41" x14ac:dyDescent="0.3">
      <c r="A36" s="1" t="s">
        <v>9</v>
      </c>
      <c r="B36" s="23">
        <v>28</v>
      </c>
      <c r="C36" s="24">
        <v>28</v>
      </c>
      <c r="D36" s="24">
        <f t="shared" si="22"/>
        <v>0</v>
      </c>
      <c r="E36" s="17">
        <f t="shared" si="23"/>
        <v>0</v>
      </c>
      <c r="F36" s="15">
        <v>0.82142857125000002</v>
      </c>
      <c r="G36" s="16">
        <v>0.82142857125000002</v>
      </c>
      <c r="H36" s="16">
        <f t="shared" si="24"/>
        <v>0</v>
      </c>
      <c r="I36" s="17">
        <f t="shared" si="25"/>
        <v>0</v>
      </c>
      <c r="J36" s="76">
        <v>23</v>
      </c>
      <c r="K36" s="77">
        <v>23</v>
      </c>
      <c r="L36" s="77">
        <f t="shared" si="26"/>
        <v>0</v>
      </c>
      <c r="M36" s="50">
        <f t="shared" si="27"/>
        <v>0</v>
      </c>
      <c r="N36" s="23">
        <v>679639.00937500002</v>
      </c>
      <c r="O36" s="24">
        <v>592035.39575000003</v>
      </c>
      <c r="P36" s="24">
        <f t="shared" si="28"/>
        <v>-87603.613624999998</v>
      </c>
      <c r="Q36" s="17">
        <f t="shared" si="29"/>
        <v>-0.12889727107565646</v>
      </c>
      <c r="R36" s="47">
        <v>3.2934820909841234E-2</v>
      </c>
      <c r="S36" s="48">
        <v>3.4023088761659999E-2</v>
      </c>
      <c r="T36" s="49">
        <f t="shared" si="30"/>
        <v>1.0882678518187652E-3</v>
      </c>
      <c r="U36" s="50">
        <f t="shared" si="31"/>
        <v>3.3043077865760627E-2</v>
      </c>
      <c r="V36" s="15">
        <v>153.97343240000001</v>
      </c>
      <c r="W36" s="16">
        <v>139.3663937</v>
      </c>
      <c r="X36" s="16">
        <f t="shared" si="32"/>
        <v>-14.607038700000004</v>
      </c>
      <c r="Y36" s="17">
        <f t="shared" si="33"/>
        <v>-9.4867266854538237E-2</v>
      </c>
      <c r="Z36" s="55">
        <v>288.75797599932702</v>
      </c>
      <c r="AA36" s="49">
        <v>345.36343843878598</v>
      </c>
      <c r="AB36" s="49">
        <f t="shared" si="20"/>
        <v>56.605462439458961</v>
      </c>
      <c r="AC36" s="50">
        <f t="shared" si="21"/>
        <v>0.1960308186936138</v>
      </c>
      <c r="AD36" s="55">
        <v>1.87537532603515</v>
      </c>
      <c r="AE36" s="49">
        <v>2.4780969728166902</v>
      </c>
      <c r="AF36" s="49">
        <f t="shared" si="34"/>
        <v>0.60272164678154017</v>
      </c>
      <c r="AG36" s="50">
        <f t="shared" si="35"/>
        <v>0.32138721162328199</v>
      </c>
      <c r="AH36" s="15">
        <v>1.3867034949999999</v>
      </c>
      <c r="AI36" s="16">
        <v>1.4521434520000001</v>
      </c>
      <c r="AJ36" s="16">
        <f t="shared" si="36"/>
        <v>6.543995700000016E-2</v>
      </c>
      <c r="AK36" s="17">
        <f t="shared" si="37"/>
        <v>4.7191023341294866E-2</v>
      </c>
      <c r="AL36" s="15">
        <v>21.806494494999999</v>
      </c>
      <c r="AM36" s="16">
        <v>22.483749447499999</v>
      </c>
      <c r="AN36" s="16">
        <f t="shared" si="38"/>
        <v>0.67725495250000023</v>
      </c>
      <c r="AO36" s="17">
        <f t="shared" si="39"/>
        <v>3.1057488522755812E-2</v>
      </c>
    </row>
    <row r="37" spans="1:41" x14ac:dyDescent="0.3">
      <c r="A37" s="1" t="s">
        <v>10</v>
      </c>
      <c r="B37" s="23">
        <v>28</v>
      </c>
      <c r="C37" s="24">
        <v>28</v>
      </c>
      <c r="D37" s="24">
        <f t="shared" si="22"/>
        <v>0</v>
      </c>
      <c r="E37" s="80">
        <f t="shared" si="23"/>
        <v>0</v>
      </c>
      <c r="F37" s="15">
        <v>0.7857142855</v>
      </c>
      <c r="G37" s="16">
        <v>0.85714285700000004</v>
      </c>
      <c r="H37" s="16">
        <f t="shared" si="24"/>
        <v>7.1428571500000038E-2</v>
      </c>
      <c r="I37" s="80">
        <f t="shared" si="25"/>
        <v>9.0909091024793443E-2</v>
      </c>
      <c r="J37" s="76">
        <v>22</v>
      </c>
      <c r="K37" s="77">
        <v>24</v>
      </c>
      <c r="L37" s="77">
        <f t="shared" si="26"/>
        <v>2</v>
      </c>
      <c r="M37" s="50">
        <f t="shared" si="27"/>
        <v>9.0909090909090912E-2</v>
      </c>
      <c r="N37" s="23">
        <v>672753.36010000005</v>
      </c>
      <c r="O37" s="24">
        <v>596968.66669999994</v>
      </c>
      <c r="P37" s="24">
        <f t="shared" si="28"/>
        <v>-75784.693400000106</v>
      </c>
      <c r="Q37" s="80">
        <f t="shared" si="29"/>
        <v>-0.1126485542766152</v>
      </c>
      <c r="R37" s="47">
        <v>4.2545373094803107E-2</v>
      </c>
      <c r="S37" s="48">
        <v>3.81651E-2</v>
      </c>
      <c r="T37" s="49">
        <f t="shared" si="30"/>
        <v>-4.3802730948031068E-3</v>
      </c>
      <c r="U37" s="50">
        <f t="shared" si="31"/>
        <v>-0.10295533394530637</v>
      </c>
      <c r="V37" s="15">
        <v>155.0906976</v>
      </c>
      <c r="W37" s="16">
        <v>139.23251629999999</v>
      </c>
      <c r="X37" s="16">
        <f t="shared" si="32"/>
        <v>-15.858181300000012</v>
      </c>
      <c r="Y37" s="80">
        <f t="shared" si="33"/>
        <v>-0.10225101534394035</v>
      </c>
      <c r="Z37" s="55">
        <v>298.99715904934402</v>
      </c>
      <c r="AA37" s="49">
        <v>359.17797597633802</v>
      </c>
      <c r="AB37" s="49">
        <f t="shared" si="20"/>
        <v>60.180816926993998</v>
      </c>
      <c r="AC37" s="50">
        <f t="shared" si="21"/>
        <v>0.20127554762840491</v>
      </c>
      <c r="AD37" s="55">
        <v>1.9278858351641399</v>
      </c>
      <c r="AE37" s="49">
        <v>2.57969894870218</v>
      </c>
      <c r="AF37" s="49">
        <f t="shared" si="34"/>
        <v>0.65181311353804006</v>
      </c>
      <c r="AG37" s="50">
        <f t="shared" si="35"/>
        <v>0.33809736118661032</v>
      </c>
      <c r="AH37" s="15">
        <v>1.3768880240000001</v>
      </c>
      <c r="AI37" s="16">
        <v>1.45884082</v>
      </c>
      <c r="AJ37" s="16">
        <f t="shared" si="36"/>
        <v>8.1952795999999939E-2</v>
      </c>
      <c r="AK37" s="80">
        <f t="shared" si="37"/>
        <v>5.952030562508541E-2</v>
      </c>
      <c r="AL37" s="15">
        <v>27.650973005000001</v>
      </c>
      <c r="AM37" s="16">
        <v>25.501149219999999</v>
      </c>
      <c r="AN37" s="16">
        <f t="shared" si="38"/>
        <v>-2.1498237850000024</v>
      </c>
      <c r="AO37" s="80">
        <f t="shared" si="39"/>
        <v>-7.774857631994575E-2</v>
      </c>
    </row>
    <row r="38" spans="1:41" ht="15" thickBot="1" x14ac:dyDescent="0.35">
      <c r="A38" s="4" t="s">
        <v>11</v>
      </c>
      <c r="B38" s="25">
        <v>39</v>
      </c>
      <c r="C38" s="26">
        <v>41</v>
      </c>
      <c r="D38" s="26">
        <f t="shared" si="22"/>
        <v>2</v>
      </c>
      <c r="E38" s="20">
        <f t="shared" si="23"/>
        <v>5.128205128205128E-2</v>
      </c>
      <c r="F38" s="18">
        <v>0.80259740239999999</v>
      </c>
      <c r="G38" s="19">
        <v>0.75384615359999996</v>
      </c>
      <c r="H38" s="19">
        <f t="shared" si="24"/>
        <v>-4.8751248800000035E-2</v>
      </c>
      <c r="I38" s="20">
        <f t="shared" si="25"/>
        <v>-6.0741847225295777E-2</v>
      </c>
      <c r="J38" s="78">
        <v>31</v>
      </c>
      <c r="K38" s="79">
        <v>31</v>
      </c>
      <c r="L38" s="79">
        <f t="shared" si="26"/>
        <v>0</v>
      </c>
      <c r="M38" s="54">
        <f t="shared" si="27"/>
        <v>0</v>
      </c>
      <c r="N38" s="25">
        <v>672753.36010000005</v>
      </c>
      <c r="O38" s="26">
        <v>596968.66669999994</v>
      </c>
      <c r="P38" s="26">
        <f t="shared" si="28"/>
        <v>-75784.693400000106</v>
      </c>
      <c r="Q38" s="20">
        <f t="shared" si="29"/>
        <v>-0.1126485542766152</v>
      </c>
      <c r="R38" s="51">
        <v>3.7437073551383371E-2</v>
      </c>
      <c r="S38" s="52">
        <v>4.0374610247000002E-2</v>
      </c>
      <c r="T38" s="53">
        <f t="shared" si="30"/>
        <v>2.9375366956166313E-3</v>
      </c>
      <c r="U38" s="54">
        <f t="shared" si="31"/>
        <v>7.846598083006634E-2</v>
      </c>
      <c r="V38" s="18">
        <v>154.84477319999999</v>
      </c>
      <c r="W38" s="19">
        <v>136.55496790000001</v>
      </c>
      <c r="X38" s="19">
        <f t="shared" si="32"/>
        <v>-18.289805299999983</v>
      </c>
      <c r="Y38" s="20">
        <f t="shared" si="33"/>
        <v>-0.11811703373659618</v>
      </c>
      <c r="Z38" s="56">
        <v>303.00089053000198</v>
      </c>
      <c r="AA38" s="53">
        <v>366.36153549586402</v>
      </c>
      <c r="AB38" s="53">
        <f t="shared" si="20"/>
        <v>63.360644965862036</v>
      </c>
      <c r="AC38" s="54">
        <f t="shared" si="21"/>
        <v>0.20911042490678194</v>
      </c>
      <c r="AD38" s="56">
        <v>1.9568041226916</v>
      </c>
      <c r="AE38" s="53">
        <v>2.6828869066502601</v>
      </c>
      <c r="AF38" s="53">
        <f t="shared" si="34"/>
        <v>0.72608278395866011</v>
      </c>
      <c r="AG38" s="54">
        <f t="shared" si="35"/>
        <v>0.37105542427002214</v>
      </c>
      <c r="AH38" s="18">
        <v>1.3518578750000001</v>
      </c>
      <c r="AI38" s="19">
        <v>1.462263173</v>
      </c>
      <c r="AJ38" s="19">
        <f t="shared" si="36"/>
        <v>0.11040529799999987</v>
      </c>
      <c r="AK38" s="17">
        <f t="shared" si="37"/>
        <v>8.1669308617224184E-2</v>
      </c>
      <c r="AL38" s="18">
        <v>29.373125504000001</v>
      </c>
      <c r="AM38" s="19">
        <v>28.886516790000002</v>
      </c>
      <c r="AN38" s="19">
        <f t="shared" si="38"/>
        <v>-0.48660871399999905</v>
      </c>
      <c r="AO38" s="20">
        <f t="shared" si="39"/>
        <v>-1.6566460179177501E-2</v>
      </c>
    </row>
    <row r="39" spans="1:41" ht="15" thickBot="1" x14ac:dyDescent="0.35">
      <c r="A39" s="4" t="s">
        <v>15</v>
      </c>
      <c r="B39" s="25">
        <f>SUM(B27:B38)</f>
        <v>365</v>
      </c>
      <c r="C39" s="26">
        <f>SUM(C27:C38)</f>
        <v>366</v>
      </c>
      <c r="D39" s="26">
        <f>C39-B39</f>
        <v>1</v>
      </c>
      <c r="E39" s="83">
        <f>(C39-B39)/B39</f>
        <v>2.7397260273972603E-3</v>
      </c>
      <c r="F39" s="18">
        <f>(4*SUM(F27:F28,F30:F31,F33:F34,F36:F37)+5*SUM(F29,F32,F35,F38))/52</f>
        <v>0.80038711269230778</v>
      </c>
      <c r="G39" s="19">
        <f>(4*SUM(G27:G28,G30:G31,G33:G34,G36:G37)+5*SUM(G29,G32,G35,G38))/52</f>
        <v>0.8023386867500002</v>
      </c>
      <c r="H39" s="19">
        <f>G39-F39</f>
        <v>1.9515740576924179E-3</v>
      </c>
      <c r="I39" s="83">
        <f>(G39-F39)/F39</f>
        <v>2.4382877069669411E-3</v>
      </c>
      <c r="J39" s="78">
        <f>SUM(J27:J38)</f>
        <v>292</v>
      </c>
      <c r="K39" s="79">
        <f>SUM(K27:K38)</f>
        <v>294</v>
      </c>
      <c r="L39" s="79">
        <f t="shared" ref="L39" si="40">K39-J39</f>
        <v>2</v>
      </c>
      <c r="M39" s="54">
        <f t="shared" ref="M39" si="41">(K39-J39)/J39</f>
        <v>6.8493150684931503E-3</v>
      </c>
      <c r="N39" s="25">
        <f>(4*SUM(N27:N28,N30:N31,N33:N34,N36:N37)+5*SUM(N29,N32,N35,N38))/52</f>
        <v>692984.4214115385</v>
      </c>
      <c r="O39" s="26">
        <f>(4*SUM(O27:O28,O30:O31,O33:O34,O36:O37)+5*SUM(O29,O32,O35,O38))/52</f>
        <v>610684.40302500001</v>
      </c>
      <c r="P39" s="26">
        <f>O39-N39</f>
        <v>-82300.01838653849</v>
      </c>
      <c r="Q39" s="84">
        <f>(O39-N39)/N39</f>
        <v>-0.11876171504534223</v>
      </c>
      <c r="R39" s="51">
        <f>PRODUCT((1+R27),(1+R28),(1+R29),(1+R30),(1+R31),(1+R32),(1+R33),(1+R34),(1+R35),(1+R36),(1+R37),(1+R38))-1</f>
        <v>0.53832402016333858</v>
      </c>
      <c r="S39" s="52">
        <f>PRODUCT((1+S27),(1+S28),(1+S29),(1+S30),(1+S31),(1+S32),(1+S33),(1+S34),(1+S35),(1+S36),(1+S37),(1+S38))-1</f>
        <v>0.36451578844015486</v>
      </c>
      <c r="T39" s="53">
        <f>S39-R39</f>
        <v>-0.17380823172318371</v>
      </c>
      <c r="U39" s="54">
        <f>(S39-R39)/R39</f>
        <v>-0.32286917397898524</v>
      </c>
      <c r="V39" s="18">
        <f>(4*SUM(V27:V28,V30:V31,V33:V34,V36:V37)+5*SUM(V29,V32,V35,V38))/52</f>
        <v>156.78815660000001</v>
      </c>
      <c r="W39" s="19">
        <f>(4*SUM(W27:W28,W30:W31,W33:W34,W36:W37)+5*SUM(W29,W32,W35,W38))/52</f>
        <v>143.13910594615388</v>
      </c>
      <c r="X39" s="19">
        <f>W39-V39</f>
        <v>-13.649050653846132</v>
      </c>
      <c r="Y39" s="83">
        <f>(W39-V39)/V39</f>
        <v>-8.7054092284966189E-2</v>
      </c>
      <c r="Z39" s="56">
        <f>(4*SUM(Z27:Z28,Z30:Z31,Z33:Z34,Z36:Z37)+5*SUM(Z29,Z32,Z35,Z38))/52</f>
        <v>263.60945828618156</v>
      </c>
      <c r="AA39" s="53">
        <f>(4*SUM(AA27:AA28,AA30:AA31,AA33:AA34,AA36:AA37)+5*SUM(AA29,AA32,AA35,AA38))/52</f>
        <v>336.41651949033724</v>
      </c>
      <c r="AB39" s="53">
        <f t="shared" ref="AB39" si="42">AA39-Z39</f>
        <v>72.807061204155673</v>
      </c>
      <c r="AC39" s="54">
        <f t="shared" ref="AC39" si="43">(AA39-Z39)/Z39</f>
        <v>0.2761929017171848</v>
      </c>
      <c r="AD39" s="56">
        <f>(4*SUM(AD27:AD28,AD30:AD31,AD33:AD34,AD36:AD37)+5*SUM(AD29,AD32,AD35,AD38))/52</f>
        <v>1.6835675975782005</v>
      </c>
      <c r="AE39" s="53">
        <f>(4*SUM(AE27:AE28,AE30:AE31,AE33:AE34,AE36:AE37)+5*SUM(AE29,AE32,AE35,AE38))/52</f>
        <v>2.3535393355077048</v>
      </c>
      <c r="AF39" s="53">
        <f>AE39-AD39</f>
        <v>0.66997173792950426</v>
      </c>
      <c r="AG39" s="54">
        <f>(AE39-AD39)/AD39</f>
        <v>0.39794763150184981</v>
      </c>
      <c r="AH39" s="18">
        <f>(4*SUM(AH27:AH28,AH30:AH31,AH33:AH34,AH36:AH37)+5*SUM(AH29,AH32,AH35,AH38))/52</f>
        <v>1.3833817951923075</v>
      </c>
      <c r="AI39" s="19">
        <f>(4*SUM(AI27:AI28,AI30:AI31,AI33:AI34,AI36:AI37)+5*SUM(AI29,AI32,AI35,AI38))/52</f>
        <v>1.4324766656153847</v>
      </c>
      <c r="AJ39" s="19">
        <f>AI39-AH39</f>
        <v>4.9094870423077142E-2</v>
      </c>
      <c r="AK39" s="83">
        <f>(AI39-AH39)/AH39</f>
        <v>3.5489024500465059E-2</v>
      </c>
      <c r="AL39" s="18">
        <f>(4*SUM(AL27:AL28,AL30:AL31,AL33:AL34,AL36:AL37)+5*SUM(AL29,AL32,AL35,AL38))/52</f>
        <v>23.420898055769236</v>
      </c>
      <c r="AM39" s="19">
        <f>(4*SUM(AM27:AM28,AM30:AM31,AM33:AM34,AM36:AM37)+5*SUM(AM29,AM32,AM35,AM38))/52</f>
        <v>23.350376298076924</v>
      </c>
      <c r="AN39" s="19">
        <f>AM39-AL39</f>
        <v>-7.0521757692311837E-2</v>
      </c>
      <c r="AO39" s="83">
        <f>(AM39-AL39)/AL39</f>
        <v>-3.0110612122723583E-3</v>
      </c>
    </row>
    <row r="40" spans="1:41" x14ac:dyDescent="0.3">
      <c r="B40" s="3"/>
      <c r="C40" s="3"/>
      <c r="D40" s="3"/>
      <c r="E40" s="3"/>
    </row>
  </sheetData>
  <mergeCells count="44">
    <mergeCell ref="B1:E5"/>
    <mergeCell ref="B8:E8"/>
    <mergeCell ref="B25:E25"/>
    <mergeCell ref="B7:M7"/>
    <mergeCell ref="B24:M24"/>
    <mergeCell ref="J1:M5"/>
    <mergeCell ref="J8:M8"/>
    <mergeCell ref="J25:M25"/>
    <mergeCell ref="F1:I5"/>
    <mergeCell ref="F8:I8"/>
    <mergeCell ref="AD1:AG5"/>
    <mergeCell ref="AH1:AK5"/>
    <mergeCell ref="AL1:AO5"/>
    <mergeCell ref="N7:Q7"/>
    <mergeCell ref="R7:U7"/>
    <mergeCell ref="V7:Y7"/>
    <mergeCell ref="Z7:AG7"/>
    <mergeCell ref="AH7:AK7"/>
    <mergeCell ref="AL7:AO7"/>
    <mergeCell ref="N1:Q5"/>
    <mergeCell ref="R1:U5"/>
    <mergeCell ref="V1:Y5"/>
    <mergeCell ref="Z1:AC5"/>
    <mergeCell ref="AD8:AG8"/>
    <mergeCell ref="AH8:AK8"/>
    <mergeCell ref="AL8:AO8"/>
    <mergeCell ref="N24:Q24"/>
    <mergeCell ref="R24:U24"/>
    <mergeCell ref="V24:Y24"/>
    <mergeCell ref="Z24:AG24"/>
    <mergeCell ref="AH24:AK24"/>
    <mergeCell ref="AL24:AO24"/>
    <mergeCell ref="N8:Q8"/>
    <mergeCell ref="R8:U8"/>
    <mergeCell ref="V8:Y8"/>
    <mergeCell ref="Z8:AC8"/>
    <mergeCell ref="AD25:AG25"/>
    <mergeCell ref="AH25:AK25"/>
    <mergeCell ref="AL25:AO25"/>
    <mergeCell ref="F25:I25"/>
    <mergeCell ref="N25:Q25"/>
    <mergeCell ref="R25:U25"/>
    <mergeCell ref="V25:Y25"/>
    <mergeCell ref="Z25:AC25"/>
  </mergeCells>
  <pageMargins left="0.7" right="0.7" top="0.75" bottom="0.75" header="0.3" footer="0.3"/>
  <pageSetup orientation="portrait" r:id="rId1"/>
  <headerFooter>
    <oddFooter>&amp;C&amp;1#&amp;"Calibri"&amp;10&amp;K000000Classified - Confidential</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N36"/>
  <sheetViews>
    <sheetView showGridLines="0" zoomScale="80" zoomScaleNormal="80" workbookViewId="0">
      <pane xSplit="1" topLeftCell="B1" activePane="topRight" state="frozen"/>
      <selection pane="topRight" activeCell="I24" sqref="I24"/>
    </sheetView>
  </sheetViews>
  <sheetFormatPr baseColWidth="10" defaultColWidth="28.44140625" defaultRowHeight="14.4" outlineLevelRow="1" x14ac:dyDescent="0.3"/>
  <cols>
    <col min="1" max="1" width="12.44140625" customWidth="1"/>
    <col min="2" max="2" width="16.5546875" bestFit="1" customWidth="1"/>
    <col min="3" max="3" width="12.109375" bestFit="1" customWidth="1"/>
    <col min="4" max="4" width="13.6640625" bestFit="1" customWidth="1"/>
    <col min="5" max="5" width="15.6640625" bestFit="1" customWidth="1"/>
    <col min="6" max="6" width="20.88671875" bestFit="1" customWidth="1"/>
    <col min="7" max="7" width="11.88671875" bestFit="1" customWidth="1"/>
    <col min="8" max="9" width="12.109375" style="250" customWidth="1"/>
    <col min="10" max="10" width="16.109375" customWidth="1"/>
    <col min="11" max="11" width="16.33203125" bestFit="1" customWidth="1"/>
    <col min="12" max="12" width="17.88671875" customWidth="1"/>
    <col min="13" max="13" width="14.6640625" bestFit="1" customWidth="1"/>
    <col min="14" max="14" width="120.109375" customWidth="1"/>
  </cols>
  <sheetData>
    <row r="1" spans="1:14" ht="25.8" x14ac:dyDescent="0.5">
      <c r="B1" s="305" t="s">
        <v>48</v>
      </c>
      <c r="C1" s="305"/>
      <c r="D1" s="305"/>
      <c r="E1" s="305"/>
      <c r="F1" s="305"/>
      <c r="G1" s="305"/>
      <c r="H1" s="305"/>
      <c r="I1" s="305"/>
      <c r="J1" s="305"/>
      <c r="K1" s="305"/>
    </row>
    <row r="2" spans="1:14" x14ac:dyDescent="0.3">
      <c r="A2" s="306" t="str">
        <f>'Andina DT'!A2:J2</f>
        <v>w47</v>
      </c>
      <c r="B2" s="306"/>
      <c r="C2" s="306"/>
      <c r="D2" s="306"/>
      <c r="E2" s="306"/>
      <c r="F2" s="306"/>
      <c r="G2" s="306"/>
      <c r="H2" s="306"/>
      <c r="I2" s="306"/>
      <c r="J2" s="306"/>
      <c r="K2" s="306"/>
    </row>
    <row r="3" spans="1:14" ht="33" customHeight="1" x14ac:dyDescent="0.3">
      <c r="A3" s="5" t="s">
        <v>34</v>
      </c>
      <c r="B3" s="5" t="s">
        <v>26</v>
      </c>
      <c r="C3" s="40" t="s">
        <v>21</v>
      </c>
      <c r="D3" s="40" t="s">
        <v>22</v>
      </c>
      <c r="E3" s="40" t="s">
        <v>23</v>
      </c>
      <c r="F3" s="40" t="s">
        <v>24</v>
      </c>
      <c r="G3" s="40" t="s">
        <v>25</v>
      </c>
      <c r="H3" s="40" t="s">
        <v>60</v>
      </c>
      <c r="I3" s="40" t="s">
        <v>111</v>
      </c>
      <c r="J3" s="5" t="s">
        <v>62</v>
      </c>
      <c r="K3" s="5" t="s">
        <v>65</v>
      </c>
      <c r="L3" s="5" t="s">
        <v>66</v>
      </c>
      <c r="N3" s="130" t="str">
        <f>"Comentarios "&amp;A2</f>
        <v>Comentarios w47</v>
      </c>
    </row>
    <row r="4" spans="1:14" ht="15" customHeight="1" x14ac:dyDescent="0.3">
      <c r="A4" s="6" t="s">
        <v>0</v>
      </c>
      <c r="B4" s="7">
        <v>6000235.4610000001</v>
      </c>
      <c r="C4" s="7">
        <v>-568673.90872369497</v>
      </c>
      <c r="D4" s="7">
        <v>-65040.955401427302</v>
      </c>
      <c r="E4" s="7">
        <v>-548284.12313426798</v>
      </c>
      <c r="F4" s="7">
        <v>-494910.20496448397</v>
      </c>
      <c r="G4" s="7">
        <v>89765.729123952799</v>
      </c>
      <c r="H4" s="7">
        <v>1</v>
      </c>
      <c r="I4" s="7">
        <v>1</v>
      </c>
      <c r="J4" s="7">
        <v>459596.93243054498</v>
      </c>
      <c r="K4" s="7">
        <f>SUM(B4:J4)</f>
        <v>4872690.9303306229</v>
      </c>
      <c r="L4" s="123">
        <f t="shared" ref="L4:L16" si="0">K4/B4-1</f>
        <v>-0.18791671393533282</v>
      </c>
      <c r="M4" s="89"/>
    </row>
    <row r="5" spans="1:14" x14ac:dyDescent="0.3">
      <c r="A5" s="6" t="s">
        <v>1</v>
      </c>
      <c r="B5" s="7">
        <v>6227762.6380000003</v>
      </c>
      <c r="C5" s="7">
        <v>-254948.238650065</v>
      </c>
      <c r="D5" s="7">
        <v>-157819.045189978</v>
      </c>
      <c r="E5" s="7">
        <v>-492933.73375073198</v>
      </c>
      <c r="F5" s="7">
        <v>-455079.18729067198</v>
      </c>
      <c r="G5" s="7">
        <v>-76915.832873293897</v>
      </c>
      <c r="H5" s="7">
        <v>1</v>
      </c>
      <c r="I5" s="7">
        <v>1</v>
      </c>
      <c r="J5" s="7">
        <v>821302.00097327598</v>
      </c>
      <c r="K5" s="7">
        <f t="shared" ref="K5:K15" si="1">SUM(B5:J5)</f>
        <v>5611370.6012185356</v>
      </c>
      <c r="L5" s="124">
        <f t="shared" si="0"/>
        <v>-9.8974876309578574E-2</v>
      </c>
      <c r="M5" s="89"/>
    </row>
    <row r="6" spans="1:14" x14ac:dyDescent="0.3">
      <c r="A6" s="6" t="s">
        <v>2</v>
      </c>
      <c r="B6" s="7">
        <v>6335479.2560000001</v>
      </c>
      <c r="C6" s="7">
        <v>-525147.56778538798</v>
      </c>
      <c r="D6" s="7">
        <v>-197273.806487472</v>
      </c>
      <c r="E6" s="7">
        <v>-467036.51308811601</v>
      </c>
      <c r="F6" s="7">
        <v>-392021.95282720402</v>
      </c>
      <c r="G6" s="7">
        <v>630497.87387894897</v>
      </c>
      <c r="H6" s="7">
        <v>1</v>
      </c>
      <c r="I6" s="7">
        <v>1</v>
      </c>
      <c r="J6" s="7">
        <v>14369.445859654899</v>
      </c>
      <c r="K6" s="7">
        <f t="shared" si="1"/>
        <v>5398868.7355504241</v>
      </c>
      <c r="L6" s="124">
        <f t="shared" si="0"/>
        <v>-0.14783578046799872</v>
      </c>
      <c r="M6" s="89"/>
    </row>
    <row r="7" spans="1:14" ht="15" customHeight="1" x14ac:dyDescent="0.3">
      <c r="A7" s="6" t="s">
        <v>3</v>
      </c>
      <c r="B7" s="7">
        <v>4494868.9418000001</v>
      </c>
      <c r="C7" s="100">
        <v>14501.302122401999</v>
      </c>
      <c r="D7" s="7">
        <v>-281964.10380251001</v>
      </c>
      <c r="E7" s="7">
        <v>-560081.21632576396</v>
      </c>
      <c r="F7" s="7">
        <v>-444751.845300844</v>
      </c>
      <c r="G7" s="7">
        <v>-303540.34506405098</v>
      </c>
      <c r="H7" s="7">
        <v>1</v>
      </c>
      <c r="I7" s="7">
        <v>1</v>
      </c>
      <c r="J7" s="7">
        <v>296780.91124353901</v>
      </c>
      <c r="K7" s="7">
        <f t="shared" si="1"/>
        <v>3215815.6446727724</v>
      </c>
      <c r="L7" s="124">
        <f t="shared" si="0"/>
        <v>-0.28455852966761308</v>
      </c>
      <c r="M7" s="89"/>
    </row>
    <row r="8" spans="1:14" x14ac:dyDescent="0.3">
      <c r="A8" s="6" t="s">
        <v>4</v>
      </c>
      <c r="B8" s="7">
        <v>3893789.9378999998</v>
      </c>
      <c r="C8" s="100">
        <v>206724.22641249301</v>
      </c>
      <c r="D8" s="7">
        <v>-654399.279640108</v>
      </c>
      <c r="E8" s="7">
        <v>-500847.745748332</v>
      </c>
      <c r="F8" s="7">
        <v>-419098.92407949199</v>
      </c>
      <c r="G8" s="7">
        <v>26852.5753069561</v>
      </c>
      <c r="H8" s="7">
        <v>1</v>
      </c>
      <c r="I8" s="7">
        <v>1</v>
      </c>
      <c r="J8" s="7">
        <v>301513.02491564798</v>
      </c>
      <c r="K8" s="7">
        <f t="shared" si="1"/>
        <v>2854535.8150671655</v>
      </c>
      <c r="L8" s="124">
        <f t="shared" si="0"/>
        <v>-0.26690040793349146</v>
      </c>
      <c r="M8" s="89"/>
    </row>
    <row r="9" spans="1:14" x14ac:dyDescent="0.3">
      <c r="A9" s="6" t="s">
        <v>5</v>
      </c>
      <c r="B9" s="7">
        <v>4332062.1218999997</v>
      </c>
      <c r="C9" s="7">
        <v>24486.9003002139</v>
      </c>
      <c r="D9" s="100">
        <v>-817999.09955013497</v>
      </c>
      <c r="E9" s="7">
        <v>-611047.06342149002</v>
      </c>
      <c r="F9" s="7">
        <v>-484460.731028529</v>
      </c>
      <c r="G9" s="7">
        <v>-76201.256611854202</v>
      </c>
      <c r="H9" s="7">
        <v>1</v>
      </c>
      <c r="I9" s="7">
        <v>1</v>
      </c>
      <c r="J9" s="7">
        <v>367614.34016523202</v>
      </c>
      <c r="K9" s="7">
        <f t="shared" si="1"/>
        <v>2734457.2117534373</v>
      </c>
      <c r="L9" s="124">
        <f t="shared" si="0"/>
        <v>-0.36878624202320276</v>
      </c>
      <c r="M9" s="89"/>
    </row>
    <row r="10" spans="1:14" s="3" customFormat="1" x14ac:dyDescent="0.3">
      <c r="A10" s="108" t="s">
        <v>6</v>
      </c>
      <c r="B10" s="100">
        <v>3737395.5269999998</v>
      </c>
      <c r="C10" s="100">
        <v>79884.629690077898</v>
      </c>
      <c r="D10" s="100">
        <v>-584988.53617182898</v>
      </c>
      <c r="E10" s="100">
        <v>-593849.992764108</v>
      </c>
      <c r="F10" s="100">
        <v>-391227.90480654902</v>
      </c>
      <c r="G10" s="100">
        <v>-147032.36769094001</v>
      </c>
      <c r="H10" s="7">
        <v>1</v>
      </c>
      <c r="I10" s="7">
        <v>1</v>
      </c>
      <c r="J10" s="100">
        <v>-318635.64362653502</v>
      </c>
      <c r="K10" s="100">
        <f t="shared" si="1"/>
        <v>1781547.7116301169</v>
      </c>
      <c r="L10" s="124">
        <f t="shared" si="0"/>
        <v>-0.52331839144138925</v>
      </c>
      <c r="M10" s="89"/>
    </row>
    <row r="11" spans="1:14" ht="15" customHeight="1" x14ac:dyDescent="0.3">
      <c r="A11" s="6" t="s">
        <v>7</v>
      </c>
      <c r="B11" s="7">
        <v>4241788.0909000002</v>
      </c>
      <c r="C11" s="7">
        <v>0</v>
      </c>
      <c r="D11" s="7">
        <v>-376756.30576699</v>
      </c>
      <c r="E11" s="7">
        <v>-396052.42327283102</v>
      </c>
      <c r="F11" s="7">
        <v>-411671.76367951999</v>
      </c>
      <c r="G11" s="7">
        <v>279932.78768981498</v>
      </c>
      <c r="H11" s="7">
        <v>1</v>
      </c>
      <c r="I11" s="7">
        <v>1</v>
      </c>
      <c r="J11" s="7">
        <v>-392727.813681931</v>
      </c>
      <c r="K11" s="7">
        <f t="shared" si="1"/>
        <v>2944514.5721885432</v>
      </c>
      <c r="L11" s="124">
        <f t="shared" si="0"/>
        <v>-0.30583176031224335</v>
      </c>
      <c r="M11" s="89"/>
    </row>
    <row r="12" spans="1:14" x14ac:dyDescent="0.3">
      <c r="A12" s="6" t="s">
        <v>8</v>
      </c>
      <c r="B12" s="7">
        <v>4625625.7510000002</v>
      </c>
      <c r="C12" s="7">
        <v>72186.998658413097</v>
      </c>
      <c r="D12" s="7">
        <v>-470945.38220873702</v>
      </c>
      <c r="E12" s="7">
        <v>-203550.82636716301</v>
      </c>
      <c r="F12" s="7">
        <v>-476413.23522545799</v>
      </c>
      <c r="G12" s="7">
        <v>-157618.82253323501</v>
      </c>
      <c r="H12" s="7">
        <v>1</v>
      </c>
      <c r="I12" s="7">
        <v>1</v>
      </c>
      <c r="J12" s="7">
        <v>83429.879422090395</v>
      </c>
      <c r="K12" s="7">
        <f t="shared" si="1"/>
        <v>3472716.3627459109</v>
      </c>
      <c r="L12" s="124">
        <f t="shared" si="0"/>
        <v>-0.24924398347722909</v>
      </c>
      <c r="M12" s="89"/>
    </row>
    <row r="13" spans="1:14" x14ac:dyDescent="0.3">
      <c r="A13" s="6" t="s">
        <v>9</v>
      </c>
      <c r="B13" s="7">
        <v>3804191.2439999999</v>
      </c>
      <c r="C13" s="7">
        <v>0</v>
      </c>
      <c r="D13" s="7">
        <v>-363891.63080453902</v>
      </c>
      <c r="E13" s="7">
        <v>89209.245484687606</v>
      </c>
      <c r="F13" s="7">
        <v>-357201.61071074998</v>
      </c>
      <c r="G13" s="7">
        <v>124124.74506513</v>
      </c>
      <c r="H13" s="7">
        <v>1</v>
      </c>
      <c r="I13" s="7">
        <v>1</v>
      </c>
      <c r="J13" s="7">
        <v>-159295.32357499999</v>
      </c>
      <c r="K13" s="7">
        <f t="shared" si="1"/>
        <v>3137138.6694595283</v>
      </c>
      <c r="L13" s="124">
        <f t="shared" si="0"/>
        <v>-0.175346750927034</v>
      </c>
      <c r="M13" s="89"/>
      <c r="N13" s="96"/>
    </row>
    <row r="14" spans="1:14" x14ac:dyDescent="0.3">
      <c r="A14" s="6" t="s">
        <v>10</v>
      </c>
      <c r="B14" s="7">
        <v>4339930.0153000001</v>
      </c>
      <c r="C14" s="7">
        <v>199399.161043759</v>
      </c>
      <c r="D14" s="100">
        <v>-325297.605917187</v>
      </c>
      <c r="E14" s="7">
        <v>483466.43964691198</v>
      </c>
      <c r="F14" s="7">
        <v>-250326.405120924</v>
      </c>
      <c r="G14" s="7">
        <v>-556541.79054764798</v>
      </c>
      <c r="H14" s="7">
        <v>1</v>
      </c>
      <c r="I14" s="7">
        <v>1</v>
      </c>
      <c r="J14" s="7">
        <v>-87894.045607331995</v>
      </c>
      <c r="K14" s="7">
        <f t="shared" si="1"/>
        <v>3802737.7687975797</v>
      </c>
      <c r="L14" s="124">
        <f t="shared" si="0"/>
        <v>-0.12377901132244107</v>
      </c>
      <c r="M14" s="89"/>
      <c r="N14" s="96"/>
    </row>
    <row r="15" spans="1:14" x14ac:dyDescent="0.3">
      <c r="A15" s="6" t="s">
        <v>11</v>
      </c>
      <c r="B15" s="7">
        <v>7043284.4468</v>
      </c>
      <c r="C15" s="100">
        <v>520308.84195413301</v>
      </c>
      <c r="D15" s="100">
        <v>-406622.00739648403</v>
      </c>
      <c r="E15" s="7">
        <v>872622.14261341502</v>
      </c>
      <c r="F15" s="7">
        <v>-358872.09274605499</v>
      </c>
      <c r="G15" s="7">
        <v>-18415.8686817897</v>
      </c>
      <c r="H15" s="7">
        <v>1</v>
      </c>
      <c r="I15" s="7">
        <v>1</v>
      </c>
      <c r="J15" s="7">
        <v>1177385.38070135</v>
      </c>
      <c r="K15" s="7">
        <f t="shared" si="1"/>
        <v>8829692.8432445712</v>
      </c>
      <c r="L15" s="124">
        <f t="shared" si="0"/>
        <v>0.25363286261371942</v>
      </c>
      <c r="M15" s="89"/>
      <c r="N15" s="96"/>
    </row>
    <row r="16" spans="1:14" x14ac:dyDescent="0.3">
      <c r="A16" s="8" t="s">
        <v>27</v>
      </c>
      <c r="B16" s="9">
        <f t="shared" ref="B16:K16" si="2">SUM(B4:B15)</f>
        <v>59076413.431600004</v>
      </c>
      <c r="C16" s="9">
        <v>-231277.6549776562</v>
      </c>
      <c r="D16" s="11">
        <f t="shared" si="2"/>
        <v>-4702997.7583373962</v>
      </c>
      <c r="E16" s="9">
        <f t="shared" si="2"/>
        <v>-2928385.8101277896</v>
      </c>
      <c r="F16" s="9">
        <f t="shared" si="2"/>
        <v>-4936035.8577804808</v>
      </c>
      <c r="G16" s="9">
        <f t="shared" si="2"/>
        <v>-185092.5729380089</v>
      </c>
      <c r="H16" s="9">
        <f t="shared" ref="H16" si="3">SUM(H4:H15)</f>
        <v>12</v>
      </c>
      <c r="I16" s="9">
        <f t="shared" si="2"/>
        <v>12</v>
      </c>
      <c r="J16" s="9">
        <f t="shared" si="2"/>
        <v>2563439.0892205373</v>
      </c>
      <c r="K16" s="11">
        <f t="shared" si="2"/>
        <v>48656086.866659209</v>
      </c>
      <c r="L16" s="145">
        <f t="shared" si="0"/>
        <v>-0.17638725778445707</v>
      </c>
      <c r="N16" s="97"/>
    </row>
    <row r="17" spans="1:14" x14ac:dyDescent="0.3">
      <c r="C17" s="89"/>
      <c r="D17" s="89"/>
      <c r="E17" s="89"/>
      <c r="F17" s="89"/>
      <c r="G17" s="89"/>
      <c r="H17" s="89"/>
      <c r="I17" s="89"/>
      <c r="J17" s="89"/>
      <c r="K17" s="170"/>
      <c r="N17" s="106"/>
    </row>
    <row r="18" spans="1:14" ht="28.8" outlineLevel="1" x14ac:dyDescent="0.3">
      <c r="A18" s="86"/>
      <c r="B18" s="86"/>
      <c r="C18" s="86" t="s">
        <v>21</v>
      </c>
      <c r="D18" s="86" t="s">
        <v>22</v>
      </c>
      <c r="E18" s="86" t="s">
        <v>23</v>
      </c>
      <c r="F18" s="86" t="s">
        <v>24</v>
      </c>
      <c r="G18" s="86" t="s">
        <v>25</v>
      </c>
      <c r="H18" s="86" t="s">
        <v>60</v>
      </c>
      <c r="I18" s="86" t="s">
        <v>111</v>
      </c>
      <c r="J18" s="86" t="s">
        <v>62</v>
      </c>
      <c r="K18" s="86" t="s">
        <v>65</v>
      </c>
    </row>
    <row r="19" spans="1:14" outlineLevel="1" x14ac:dyDescent="0.3">
      <c r="A19" s="307" t="str">
        <f>"Dif. FY " &amp; A2 &amp; " vs " &amp; A22</f>
        <v>Dif. FY w47 vs w43</v>
      </c>
      <c r="B19" s="308"/>
      <c r="C19" s="87">
        <f>C16-C36</f>
        <v>0</v>
      </c>
      <c r="D19" s="87">
        <f t="shared" ref="D19:K19" si="4">D16-D36</f>
        <v>144958.77306919731</v>
      </c>
      <c r="E19" s="87">
        <f t="shared" si="4"/>
        <v>32233.036323082168</v>
      </c>
      <c r="F19" s="87">
        <f t="shared" si="4"/>
        <v>2710.1462100241333</v>
      </c>
      <c r="G19" s="87">
        <f t="shared" si="4"/>
        <v>-131996.59206120067</v>
      </c>
      <c r="H19" s="114">
        <f t="shared" ref="H19" si="5">H16-H36</f>
        <v>0</v>
      </c>
      <c r="I19" s="114">
        <f t="shared" si="4"/>
        <v>0</v>
      </c>
      <c r="J19" s="87">
        <f t="shared" si="4"/>
        <v>-8813.3794183577411</v>
      </c>
      <c r="K19" s="87">
        <f t="shared" si="4"/>
        <v>39091.984122753143</v>
      </c>
    </row>
    <row r="20" spans="1:14" x14ac:dyDescent="0.3">
      <c r="A20" s="307" t="str">
        <f>"Var. FY " &amp; A3 &amp; " vs " &amp; A23</f>
        <v>Var. FY Mes vs Mes</v>
      </c>
      <c r="B20" s="308"/>
      <c r="C20" s="137">
        <f>(C16-C36)/ABS(C36)</f>
        <v>0</v>
      </c>
      <c r="D20" s="138">
        <f t="shared" ref="D20:K20" si="6">(D16-D36)/ABS(D36)</f>
        <v>2.9901005120427256E-2</v>
      </c>
      <c r="E20" s="137">
        <f t="shared" si="6"/>
        <v>1.0887263100997436E-2</v>
      </c>
      <c r="F20" s="137">
        <f t="shared" si="6"/>
        <v>5.487518912360215E-4</v>
      </c>
      <c r="G20" s="137">
        <f t="shared" si="6"/>
        <v>-2.4859996911528084</v>
      </c>
      <c r="H20" s="134">
        <f t="shared" ref="H20" si="7">(H16-H36)/ABS(H36)</f>
        <v>0</v>
      </c>
      <c r="I20" s="134">
        <f t="shared" si="6"/>
        <v>0</v>
      </c>
      <c r="J20" s="137">
        <f t="shared" si="6"/>
        <v>-3.4263275187063316E-3</v>
      </c>
      <c r="K20" s="247">
        <f t="shared" si="6"/>
        <v>8.0408063511953594E-4</v>
      </c>
      <c r="N20" s="90"/>
    </row>
    <row r="21" spans="1:14" x14ac:dyDescent="0.3">
      <c r="C21" s="109"/>
      <c r="D21" s="109"/>
      <c r="E21" s="109"/>
      <c r="F21" s="109"/>
      <c r="G21" s="109"/>
      <c r="J21" s="109"/>
      <c r="K21" s="107"/>
      <c r="N21" s="180"/>
    </row>
    <row r="22" spans="1:14" x14ac:dyDescent="0.3">
      <c r="A22" s="306" t="str">
        <f>'Andina DT'!A22:J22</f>
        <v>w43</v>
      </c>
      <c r="B22" s="306"/>
      <c r="C22" s="306"/>
      <c r="D22" s="306"/>
      <c r="E22" s="306"/>
      <c r="F22" s="306"/>
      <c r="G22" s="306"/>
      <c r="H22" s="306"/>
      <c r="I22" s="306"/>
      <c r="J22" s="306"/>
      <c r="K22" s="306"/>
      <c r="N22" s="180"/>
    </row>
    <row r="23" spans="1:14" ht="28.8" x14ac:dyDescent="0.3">
      <c r="A23" s="5" t="s">
        <v>34</v>
      </c>
      <c r="B23" s="5" t="s">
        <v>26</v>
      </c>
      <c r="C23" s="40" t="s">
        <v>21</v>
      </c>
      <c r="D23" s="40" t="s">
        <v>22</v>
      </c>
      <c r="E23" s="40" t="s">
        <v>23</v>
      </c>
      <c r="F23" s="40" t="s">
        <v>24</v>
      </c>
      <c r="G23" s="40" t="s">
        <v>25</v>
      </c>
      <c r="H23" s="40" t="s">
        <v>60</v>
      </c>
      <c r="I23" s="40" t="s">
        <v>111</v>
      </c>
      <c r="J23" s="5" t="s">
        <v>62</v>
      </c>
      <c r="K23" s="5" t="s">
        <v>65</v>
      </c>
      <c r="L23" s="5" t="s">
        <v>66</v>
      </c>
      <c r="N23" s="130" t="str">
        <f>"Comentarios "&amp;A22</f>
        <v>Comentarios w43</v>
      </c>
    </row>
    <row r="24" spans="1:14" ht="15" customHeight="1" x14ac:dyDescent="0.3">
      <c r="A24" s="6" t="s">
        <v>0</v>
      </c>
      <c r="B24" s="7">
        <v>6000235.4610000001</v>
      </c>
      <c r="C24" s="7">
        <v>-568673.90872369497</v>
      </c>
      <c r="D24" s="7">
        <v>-64456.701592642901</v>
      </c>
      <c r="E24" s="7">
        <v>-549063.333538812</v>
      </c>
      <c r="F24" s="7">
        <v>-495181.936988912</v>
      </c>
      <c r="G24" s="7">
        <v>89728.240706324301</v>
      </c>
      <c r="H24" s="7">
        <v>1</v>
      </c>
      <c r="I24" s="7">
        <v>1</v>
      </c>
      <c r="J24" s="7">
        <v>460925.54723773798</v>
      </c>
      <c r="K24" s="7">
        <f>SUM(B24:J24)</f>
        <v>4873515.3681000015</v>
      </c>
      <c r="L24" s="123">
        <f t="shared" ref="L24:L36" si="8">K24/B24-1</f>
        <v>-0.18777931303252882</v>
      </c>
      <c r="N24" s="180"/>
    </row>
    <row r="25" spans="1:14" x14ac:dyDescent="0.3">
      <c r="A25" s="6" t="s">
        <v>1</v>
      </c>
      <c r="B25" s="7">
        <v>6227762.6380000003</v>
      </c>
      <c r="C25" s="7">
        <v>-254948.238650065</v>
      </c>
      <c r="D25" s="7">
        <v>-156401.378772228</v>
      </c>
      <c r="E25" s="7">
        <v>-493634.28129147203</v>
      </c>
      <c r="F25" s="7">
        <v>-455329.049967976</v>
      </c>
      <c r="G25" s="7">
        <v>-76883.710894303396</v>
      </c>
      <c r="H25" s="7">
        <v>1</v>
      </c>
      <c r="I25" s="7">
        <v>1</v>
      </c>
      <c r="J25" s="7">
        <v>820840.74857604399</v>
      </c>
      <c r="K25" s="7">
        <f t="shared" ref="K25:K35" si="9">SUM(B25:J25)</f>
        <v>5611408.727</v>
      </c>
      <c r="L25" s="124">
        <f t="shared" si="8"/>
        <v>-9.8968754402935621E-2</v>
      </c>
      <c r="N25" s="180"/>
    </row>
    <row r="26" spans="1:14" x14ac:dyDescent="0.3">
      <c r="A26" s="6" t="s">
        <v>2</v>
      </c>
      <c r="B26" s="7">
        <v>6335479.2560000001</v>
      </c>
      <c r="C26" s="7">
        <v>-525147.56778538798</v>
      </c>
      <c r="D26" s="7">
        <v>-195501.723465285</v>
      </c>
      <c r="E26" s="7">
        <v>-467700.25601800298</v>
      </c>
      <c r="F26" s="7">
        <v>-392237.19372907601</v>
      </c>
      <c r="G26" s="7">
        <v>630234.56216922798</v>
      </c>
      <c r="H26" s="7">
        <v>1</v>
      </c>
      <c r="I26" s="7">
        <v>1</v>
      </c>
      <c r="J26" s="7">
        <v>17699.617621365702</v>
      </c>
      <c r="K26" s="7">
        <f t="shared" si="9"/>
        <v>5402828.6947928416</v>
      </c>
      <c r="L26" s="124">
        <f t="shared" si="8"/>
        <v>-0.14721073552942254</v>
      </c>
      <c r="N26" s="180"/>
    </row>
    <row r="27" spans="1:14" ht="15" customHeight="1" x14ac:dyDescent="0.3">
      <c r="A27" s="6" t="s">
        <v>3</v>
      </c>
      <c r="B27" s="7">
        <v>4494868.9418000001</v>
      </c>
      <c r="C27" s="100">
        <v>14501.302122401999</v>
      </c>
      <c r="D27" s="7">
        <v>-279431.25968036702</v>
      </c>
      <c r="E27" s="7">
        <v>-560877.19252266001</v>
      </c>
      <c r="F27" s="7">
        <v>-444996.03771813598</v>
      </c>
      <c r="G27" s="7">
        <v>-303413.57901052502</v>
      </c>
      <c r="H27" s="7">
        <v>1</v>
      </c>
      <c r="I27" s="7">
        <v>1</v>
      </c>
      <c r="J27" s="7">
        <v>297336.67183253902</v>
      </c>
      <c r="K27" s="7">
        <f t="shared" si="9"/>
        <v>3217990.8468232537</v>
      </c>
      <c r="L27" s="124">
        <f t="shared" si="8"/>
        <v>-0.28407459961789505</v>
      </c>
      <c r="N27" s="93"/>
    </row>
    <row r="28" spans="1:14" x14ac:dyDescent="0.3">
      <c r="A28" s="6" t="s">
        <v>4</v>
      </c>
      <c r="B28" s="7">
        <v>3893789.9378999998</v>
      </c>
      <c r="C28" s="100">
        <v>206724.22641249301</v>
      </c>
      <c r="D28" s="7">
        <v>-648520.90240478399</v>
      </c>
      <c r="E28" s="7">
        <v>-501559.54052427202</v>
      </c>
      <c r="F28" s="7">
        <v>-419329.03167867602</v>
      </c>
      <c r="G28" s="7">
        <v>26841.3609986964</v>
      </c>
      <c r="H28" s="7">
        <v>1</v>
      </c>
      <c r="I28" s="7">
        <v>1</v>
      </c>
      <c r="J28" s="7">
        <v>302018.13068621402</v>
      </c>
      <c r="K28" s="7">
        <f t="shared" si="9"/>
        <v>2859966.1813896708</v>
      </c>
      <c r="L28" s="124">
        <f t="shared" si="8"/>
        <v>-0.26550578562229554</v>
      </c>
      <c r="N28" s="93"/>
    </row>
    <row r="29" spans="1:14" s="3" customFormat="1" x14ac:dyDescent="0.3">
      <c r="A29" s="108" t="s">
        <v>5</v>
      </c>
      <c r="B29" s="100">
        <v>4332062.1218999997</v>
      </c>
      <c r="C29" s="100">
        <v>24486.9003002139</v>
      </c>
      <c r="D29" s="100">
        <v>-810651.12800598005</v>
      </c>
      <c r="E29" s="100">
        <v>-611915.47125857999</v>
      </c>
      <c r="F29" s="100">
        <v>-484726.72573600902</v>
      </c>
      <c r="G29" s="100">
        <v>-76169.4330578136</v>
      </c>
      <c r="H29" s="7">
        <v>1</v>
      </c>
      <c r="I29" s="7">
        <v>1</v>
      </c>
      <c r="J29" s="100">
        <v>369287.25599973899</v>
      </c>
      <c r="K29" s="100">
        <f t="shared" si="9"/>
        <v>2742375.5201415699</v>
      </c>
      <c r="L29" s="124">
        <f t="shared" si="8"/>
        <v>-0.36695840387930745</v>
      </c>
    </row>
    <row r="30" spans="1:14" s="3" customFormat="1" x14ac:dyDescent="0.3">
      <c r="A30" s="108" t="s">
        <v>6</v>
      </c>
      <c r="B30" s="100">
        <v>3737395.5269999998</v>
      </c>
      <c r="C30" s="100">
        <v>79884.629690077898</v>
      </c>
      <c r="D30" s="100">
        <v>-590091.40012652997</v>
      </c>
      <c r="E30" s="100">
        <v>-594693.96046912402</v>
      </c>
      <c r="F30" s="100">
        <v>-391442.70973382599</v>
      </c>
      <c r="G30" s="100">
        <v>-146970.963290188</v>
      </c>
      <c r="H30" s="7">
        <v>1</v>
      </c>
      <c r="I30" s="7">
        <v>1</v>
      </c>
      <c r="J30" s="100">
        <v>-317217.99592784297</v>
      </c>
      <c r="K30" s="100">
        <f t="shared" si="9"/>
        <v>1776865.127142567</v>
      </c>
      <c r="L30" s="124">
        <f t="shared" si="8"/>
        <v>-0.52457129187799578</v>
      </c>
      <c r="M30" s="178"/>
      <c r="N30" s="179"/>
    </row>
    <row r="31" spans="1:14" ht="15" customHeight="1" x14ac:dyDescent="0.3">
      <c r="A31" s="6" t="s">
        <v>7</v>
      </c>
      <c r="B31" s="7">
        <v>4241788.0909000002</v>
      </c>
      <c r="C31" s="7">
        <v>0</v>
      </c>
      <c r="D31" s="7">
        <v>-414802.89329176798</v>
      </c>
      <c r="E31" s="7">
        <v>-401834.23706217197</v>
      </c>
      <c r="F31" s="7">
        <v>-411897.79337262799</v>
      </c>
      <c r="G31" s="7">
        <v>279815.88074375299</v>
      </c>
      <c r="H31" s="7">
        <v>1</v>
      </c>
      <c r="I31" s="7">
        <v>1</v>
      </c>
      <c r="J31" s="7">
        <v>-392326.62738922099</v>
      </c>
      <c r="K31" s="7">
        <f t="shared" si="9"/>
        <v>2900744.4205279644</v>
      </c>
      <c r="L31" s="124">
        <f t="shared" si="8"/>
        <v>-0.3161505576502055</v>
      </c>
      <c r="N31" s="163"/>
    </row>
    <row r="32" spans="1:14" s="3" customFormat="1" x14ac:dyDescent="0.3">
      <c r="A32" s="108" t="s">
        <v>8</v>
      </c>
      <c r="B32" s="7">
        <v>4625625.7510000002</v>
      </c>
      <c r="C32" s="7">
        <v>72186.998658413097</v>
      </c>
      <c r="D32" s="7">
        <v>-518503.61661471002</v>
      </c>
      <c r="E32" s="7">
        <v>-210446.37340643199</v>
      </c>
      <c r="F32" s="7">
        <v>-476674.81142973498</v>
      </c>
      <c r="G32" s="7">
        <v>-157552.99696368899</v>
      </c>
      <c r="H32" s="7">
        <v>1</v>
      </c>
      <c r="I32" s="7">
        <v>1</v>
      </c>
      <c r="J32" s="7">
        <v>78186.208476104905</v>
      </c>
      <c r="K32" s="7">
        <f t="shared" si="9"/>
        <v>3412823.1597199519</v>
      </c>
      <c r="L32" s="124">
        <f t="shared" si="8"/>
        <v>-0.26219211336279336</v>
      </c>
      <c r="N32" s="164"/>
    </row>
    <row r="33" spans="1:12" s="3" customFormat="1" x14ac:dyDescent="0.3">
      <c r="A33" s="108" t="s">
        <v>9</v>
      </c>
      <c r="B33" s="7">
        <v>3804191.2439999999</v>
      </c>
      <c r="C33" s="7">
        <v>0</v>
      </c>
      <c r="D33" s="100">
        <v>-396951.50571717299</v>
      </c>
      <c r="E33" s="7">
        <v>84209.925629922407</v>
      </c>
      <c r="F33" s="7">
        <v>-357397.73339287302</v>
      </c>
      <c r="G33" s="7">
        <v>45080.893033666798</v>
      </c>
      <c r="H33" s="7">
        <v>1</v>
      </c>
      <c r="I33" s="7">
        <v>1</v>
      </c>
      <c r="J33" s="7">
        <v>-170587.290724313</v>
      </c>
      <c r="K33" s="7">
        <f t="shared" si="9"/>
        <v>3008547.5328292302</v>
      </c>
      <c r="L33" s="124">
        <f t="shared" si="8"/>
        <v>-0.20914924096564946</v>
      </c>
    </row>
    <row r="34" spans="1:12" x14ac:dyDescent="0.3">
      <c r="A34" s="6" t="s">
        <v>10</v>
      </c>
      <c r="B34" s="7">
        <v>4339930.0153000001</v>
      </c>
      <c r="C34" s="7">
        <v>199399.161043759</v>
      </c>
      <c r="D34" s="100">
        <v>-343397.342993389</v>
      </c>
      <c r="E34" s="7">
        <v>479130.837415052</v>
      </c>
      <c r="F34" s="7">
        <v>-250463.847630998</v>
      </c>
      <c r="G34" s="7">
        <v>-332685.34433809301</v>
      </c>
      <c r="H34" s="7">
        <v>1</v>
      </c>
      <c r="I34" s="7">
        <v>1</v>
      </c>
      <c r="J34" s="7">
        <v>-73222.943542163004</v>
      </c>
      <c r="K34" s="7">
        <f t="shared" si="9"/>
        <v>4018692.5352541683</v>
      </c>
      <c r="L34" s="124">
        <f t="shared" si="8"/>
        <v>-7.4019046139762734E-2</v>
      </c>
    </row>
    <row r="35" spans="1:12" x14ac:dyDescent="0.3">
      <c r="A35" s="6" t="s">
        <v>11</v>
      </c>
      <c r="B35" s="7">
        <v>7043284.4468</v>
      </c>
      <c r="C35" s="100">
        <v>520308.84195413301</v>
      </c>
      <c r="D35" s="100">
        <v>-429246.67874173599</v>
      </c>
      <c r="E35" s="7">
        <v>867765.03659568005</v>
      </c>
      <c r="F35" s="7">
        <v>-359069.13261166</v>
      </c>
      <c r="G35" s="7">
        <v>-31120.890973864702</v>
      </c>
      <c r="H35" s="7">
        <v>1</v>
      </c>
      <c r="I35" s="7">
        <v>1</v>
      </c>
      <c r="J35" s="7">
        <v>1179313.1457926901</v>
      </c>
      <c r="K35" s="7">
        <f t="shared" si="9"/>
        <v>8791236.7688152418</v>
      </c>
      <c r="L35" s="146">
        <f t="shared" si="8"/>
        <v>0.24817289933667164</v>
      </c>
    </row>
    <row r="36" spans="1:12" x14ac:dyDescent="0.3">
      <c r="A36" s="8" t="s">
        <v>27</v>
      </c>
      <c r="B36" s="9">
        <f>SUM(B24:B35)</f>
        <v>59076413.431600004</v>
      </c>
      <c r="C36" s="9">
        <f t="shared" ref="C36:K36" si="10">SUM(C24:C35)</f>
        <v>-231277.6549776562</v>
      </c>
      <c r="D36" s="9">
        <f t="shared" si="10"/>
        <v>-4847956.5314065935</v>
      </c>
      <c r="E36" s="9">
        <f t="shared" si="10"/>
        <v>-2960618.8464508718</v>
      </c>
      <c r="F36" s="9">
        <f t="shared" si="10"/>
        <v>-4938746.0039905049</v>
      </c>
      <c r="G36" s="9">
        <f t="shared" si="10"/>
        <v>-53095.980876808229</v>
      </c>
      <c r="H36" s="9">
        <f t="shared" ref="H36" si="11">SUM(H24:H35)</f>
        <v>12</v>
      </c>
      <c r="I36" s="9">
        <f t="shared" si="10"/>
        <v>12</v>
      </c>
      <c r="J36" s="9">
        <f t="shared" si="10"/>
        <v>2572252.4686388951</v>
      </c>
      <c r="K36" s="111">
        <f t="shared" si="10"/>
        <v>48616994.882536456</v>
      </c>
      <c r="L36" s="145">
        <f t="shared" si="8"/>
        <v>-0.17704897676589149</v>
      </c>
    </row>
  </sheetData>
  <mergeCells count="5">
    <mergeCell ref="A20:B20"/>
    <mergeCell ref="B1:K1"/>
    <mergeCell ref="A2:K2"/>
    <mergeCell ref="A22:K22"/>
    <mergeCell ref="A19:B19"/>
  </mergeCells>
  <hyperlinks>
    <hyperlink ref="C23" location="'RLee Support'!B25" display="Calendar" xr:uid="{00000000-0004-0000-0800-000000000000}"/>
    <hyperlink ref="D23" location="'RLee Support'!N25" display="Economy" xr:uid="{00000000-0004-0000-0800-000001000000}"/>
    <hyperlink ref="E23" location="'RLee Support'!V25" display="Affordability" xr:uid="{00000000-0004-0000-0800-000002000000}"/>
    <hyperlink ref="F23" location="'RLee Support'!AH25" display="Competitiveness" xr:uid="{00000000-0004-0000-0800-000003000000}"/>
    <hyperlink ref="G23" location="'RLee Support'!AL25" display="Weather" xr:uid="{00000000-0004-0000-0800-000004000000}"/>
    <hyperlink ref="C3" location="'RLee Support'!B8" display="Calendar" xr:uid="{00000000-0004-0000-0800-000005000000}"/>
    <hyperlink ref="D3" location="'RLee Support'!N8" display="Economy" xr:uid="{00000000-0004-0000-0800-000006000000}"/>
    <hyperlink ref="E3" location="'RLee Support'!V8" display="Affordability" xr:uid="{00000000-0004-0000-0800-000007000000}"/>
    <hyperlink ref="F3" location="'RLee Support'!AH8" display="Competitiveness" xr:uid="{00000000-0004-0000-0800-000008000000}"/>
    <hyperlink ref="G3" location="'RLee Support'!AL8" display="Weather" xr:uid="{00000000-0004-0000-0800-000009000000}"/>
    <hyperlink ref="I3" location="'RLee Support'!AP8" display="Brand" xr:uid="{00000000-0004-0000-0800-00000A000000}"/>
    <hyperlink ref="I23" location="'RLee Support'!AP25" display="Brand" xr:uid="{00000000-0004-0000-0800-00000B000000}"/>
    <hyperlink ref="H3" location="'RLee Support'!AP8" display="Brand" xr:uid="{00000000-0004-0000-0800-00000C000000}"/>
    <hyperlink ref="H23" location="'RLee Support'!AP25" display="Brand" xr:uid="{00000000-0004-0000-0800-00000D000000}"/>
  </hyperlink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Home</vt:lpstr>
      <vt:lpstr>Argentina DT</vt:lpstr>
      <vt:lpstr>Andina DT</vt:lpstr>
      <vt:lpstr>Andina Support</vt:lpstr>
      <vt:lpstr>Arca DT</vt:lpstr>
      <vt:lpstr>Arca Support</vt:lpstr>
      <vt:lpstr>Femsa DT</vt:lpstr>
      <vt:lpstr>Femsa Support</vt:lpstr>
      <vt:lpstr>RLee DT</vt:lpstr>
      <vt:lpstr>RLee Support</vt:lpstr>
      <vt:lpstr>Bolivia DT</vt:lpstr>
      <vt:lpstr>Bolivia Support</vt:lpstr>
      <vt:lpstr>Chile DT</vt:lpstr>
      <vt:lpstr>Chile Support</vt:lpstr>
      <vt:lpstr>Peru DT</vt:lpstr>
      <vt:lpstr>Peru Support</vt:lpstr>
      <vt:lpstr>Uruguay DT</vt:lpstr>
      <vt:lpstr>Uruguay Support</vt:lpstr>
      <vt:lpstr>Paraguay DT</vt:lpstr>
      <vt:lpstr>Paraguay Support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CLAUDIO CESPON</cp:lastModifiedBy>
  <dcterms:created xsi:type="dcterms:W3CDTF">2020-04-02T20:30:02Z</dcterms:created>
  <dcterms:modified xsi:type="dcterms:W3CDTF">2021-01-04T00:05:38Z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702bf62-88e6-456d-b298-e2abb13de1ea_Enabled">
    <vt:lpwstr>True</vt:lpwstr>
  </property>
  <property fmtid="{D5CDD505-2E9C-101B-9397-08002B2CF9AE}" pid="3" name="MSIP_Label_0702bf62-88e6-456d-b298-e2abb13de1ea_SiteId">
    <vt:lpwstr>548d26ab-8caa-49e1-97c2-a1b1a06cc39c</vt:lpwstr>
  </property>
  <property fmtid="{D5CDD505-2E9C-101B-9397-08002B2CF9AE}" pid="4" name="MSIP_Label_0702bf62-88e6-456d-b298-e2abb13de1ea_Owner">
    <vt:lpwstr>rgmbpsupport@coca-cola.com</vt:lpwstr>
  </property>
  <property fmtid="{D5CDD505-2E9C-101B-9397-08002B2CF9AE}" pid="5" name="MSIP_Label_0702bf62-88e6-456d-b298-e2abb13de1ea_SetDate">
    <vt:lpwstr>2020-06-23T17:44:43.0476518Z</vt:lpwstr>
  </property>
  <property fmtid="{D5CDD505-2E9C-101B-9397-08002B2CF9AE}" pid="6" name="MSIP_Label_0702bf62-88e6-456d-b298-e2abb13de1ea_Name">
    <vt:lpwstr>Confidential (not protected)</vt:lpwstr>
  </property>
  <property fmtid="{D5CDD505-2E9C-101B-9397-08002B2CF9AE}" pid="7" name="MSIP_Label_0702bf62-88e6-456d-b298-e2abb13de1ea_Application">
    <vt:lpwstr>Microsoft Azure Information Protection</vt:lpwstr>
  </property>
  <property fmtid="{D5CDD505-2E9C-101B-9397-08002B2CF9AE}" pid="8" name="MSIP_Label_0702bf62-88e6-456d-b298-e2abb13de1ea_ActionId">
    <vt:lpwstr>0c20dd23-7df1-4f6e-ae3a-48e581365ffc</vt:lpwstr>
  </property>
  <property fmtid="{D5CDD505-2E9C-101B-9397-08002B2CF9AE}" pid="9" name="MSIP_Label_0702bf62-88e6-456d-b298-e2abb13de1ea_Extended_MSFT_Method">
    <vt:lpwstr>Automatic</vt:lpwstr>
  </property>
  <property fmtid="{D5CDD505-2E9C-101B-9397-08002B2CF9AE}" pid="10" name="Sensitivity">
    <vt:lpwstr>Confidential (not protected)</vt:lpwstr>
  </property>
</Properties>
</file>