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OneDrive\Documentos\KiCAD Projects\PowerSupply\LM25085\PowerSupplyDC_DC\"/>
    </mc:Choice>
  </mc:AlternateContent>
  <xr:revisionPtr revIDLastSave="0" documentId="13_ncr:1_{83DC977C-BEB6-444E-89F6-77039E0A6EFF}" xr6:coauthVersionLast="47" xr6:coauthVersionMax="47" xr10:uidLastSave="{00000000-0000-0000-0000-000000000000}"/>
  <bookViews>
    <workbookView xWindow="-20604" yWindow="1968" windowWidth="20712" windowHeight="11136" xr2:uid="{A751BA2A-60A2-4693-BBB0-E416EF9A55A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40" i="1"/>
  <c r="B39" i="1"/>
  <c r="B50" i="1" s="1"/>
  <c r="B59" i="1" s="1"/>
  <c r="B6" i="1"/>
  <c r="B7" i="1" s="1"/>
  <c r="B33" i="1" s="1"/>
  <c r="F55" i="1"/>
  <c r="B45" i="1"/>
  <c r="B4" i="1"/>
  <c r="B5" i="1" s="1"/>
  <c r="B22" i="1" s="1"/>
  <c r="B25" i="1" s="1"/>
  <c r="B19" i="1"/>
  <c r="B18" i="1"/>
  <c r="B11" i="1"/>
  <c r="B13" i="1" s="1"/>
  <c r="B14" i="1" s="1"/>
  <c r="B15" i="1" s="1"/>
  <c r="B16" i="1" s="1"/>
  <c r="B61" i="1" l="1"/>
  <c r="B47" i="1"/>
  <c r="B51" i="1"/>
  <c r="B29" i="1" s="1"/>
  <c r="B35" i="1"/>
  <c r="N12" i="1"/>
  <c r="M12" i="1"/>
  <c r="O11" i="1"/>
  <c r="N13" i="1"/>
  <c r="O12" i="1"/>
  <c r="N11" i="1"/>
  <c r="M11" i="1"/>
  <c r="O13" i="1"/>
  <c r="M13" i="1"/>
  <c r="B54" i="1" l="1"/>
  <c r="C39" i="1"/>
  <c r="I39" i="1" s="1"/>
  <c r="C40" i="1" l="1"/>
  <c r="I40" i="1" s="1"/>
</calcChain>
</file>

<file path=xl/sharedStrings.xml><?xml version="1.0" encoding="utf-8"?>
<sst xmlns="http://schemas.openxmlformats.org/spreadsheetml/2006/main" count="89" uniqueCount="84">
  <si>
    <t>Ripple current</t>
  </si>
  <si>
    <t>Icl (min)</t>
  </si>
  <si>
    <t>Radj</t>
  </si>
  <si>
    <t>Rsense Volt</t>
  </si>
  <si>
    <t>Rsense</t>
  </si>
  <si>
    <t>Max tripping voltage</t>
  </si>
  <si>
    <t>Current at max trip voltage</t>
  </si>
  <si>
    <t>+ 9 mV max comp offset</t>
  </si>
  <si>
    <t>Worst case scenario Radj using lowest sink current 32uA</t>
  </si>
  <si>
    <t>Sink current</t>
  </si>
  <si>
    <t>Min</t>
  </si>
  <si>
    <t>Nominal</t>
  </si>
  <si>
    <t>Max</t>
  </si>
  <si>
    <t>Offset voltage</t>
  </si>
  <si>
    <t>Next avail res</t>
  </si>
  <si>
    <t>I cl max</t>
  </si>
  <si>
    <t>I cl min</t>
  </si>
  <si>
    <t>Max current + half ripple</t>
  </si>
  <si>
    <t>Load maxcurrent</t>
  </si>
  <si>
    <t>Ton</t>
  </si>
  <si>
    <t>Freq</t>
  </si>
  <si>
    <t>Cin</t>
  </si>
  <si>
    <t>Vin Ripple</t>
  </si>
  <si>
    <t>Cin Commercial</t>
  </si>
  <si>
    <t>1uF</t>
  </si>
  <si>
    <t>A higher value cap allowes for smaller Vin Ripple</t>
  </si>
  <si>
    <t>D1 power</t>
  </si>
  <si>
    <t>Must stand max Vin</t>
  </si>
  <si>
    <t>Vf diode</t>
  </si>
  <si>
    <t>Cvcc</t>
  </si>
  <si>
    <t>0.47uF ceremic low ESR recommended</t>
  </si>
  <si>
    <t>Rt</t>
  </si>
  <si>
    <t>Duty cycle</t>
  </si>
  <si>
    <t>Vin</t>
  </si>
  <si>
    <t>Vout</t>
  </si>
  <si>
    <t>Should not be less than 150ns</t>
  </si>
  <si>
    <t>Calculated 375ns</t>
  </si>
  <si>
    <t>67 ns for Vishay SQ3419AEEV</t>
  </si>
  <si>
    <t>off-on delay in mosfet +50ns</t>
  </si>
  <si>
    <t>Calc value= 63k2 Ohms</t>
  </si>
  <si>
    <t>Ton(min) @Vin max=42V</t>
  </si>
  <si>
    <t>Ton(max) @Vin min=20V</t>
  </si>
  <si>
    <t>SW of 1 Mhz just achieved at Vin=32V</t>
  </si>
  <si>
    <t>+Delay</t>
  </si>
  <si>
    <t>Td mosf</t>
  </si>
  <si>
    <t>Td mosf + IC</t>
  </si>
  <si>
    <t>299 ns higher than 150ns recommended</t>
  </si>
  <si>
    <t>575 ns</t>
  </si>
  <si>
    <t>Inductor value choosed so continous mode is obtained</t>
  </si>
  <si>
    <t>Min Load current</t>
  </si>
  <si>
    <t>Max ripple current</t>
  </si>
  <si>
    <t>2 times min curr.</t>
  </si>
  <si>
    <t>min current with neg half ripple current = 0 Amps</t>
  </si>
  <si>
    <t>L1</t>
  </si>
  <si>
    <t>Comercial L1</t>
  </si>
  <si>
    <t>Max ripple @L1 selected</t>
  </si>
  <si>
    <t>Max load current</t>
  </si>
  <si>
    <t>Cout</t>
  </si>
  <si>
    <t>Vout ripple</t>
  </si>
  <si>
    <t>29-6</t>
  </si>
  <si>
    <t>Rt value in kOmhs</t>
  </si>
  <si>
    <t>Comercial RT</t>
  </si>
  <si>
    <t>E48</t>
  </si>
  <si>
    <t>Resulting Fsw</t>
  </si>
  <si>
    <t>Value in Kohms</t>
  </si>
  <si>
    <t>0.983 Mhz</t>
  </si>
  <si>
    <t>6 uH</t>
  </si>
  <si>
    <t>Comercial Cout</t>
  </si>
  <si>
    <t>Resulting Vout ripple</t>
  </si>
  <si>
    <t>STPS5L60</t>
  </si>
  <si>
    <t>0.43 @25C</t>
  </si>
  <si>
    <t>5.4 x 3.625 mm</t>
  </si>
  <si>
    <t>Max power 144W</t>
  </si>
  <si>
    <t>Following datasheet formula</t>
  </si>
  <si>
    <t>Vripple = Capacitive ripple + ESR ripple = Imax*D/(f*C) + Iripple *ESR</t>
  </si>
  <si>
    <t xml:space="preserve">0.86uF, fromula dividing by 8 as they  assume over half period half max ripple current and multiplied by 1/2 to obtain the area or the charge change </t>
  </si>
  <si>
    <t>ESR</t>
  </si>
  <si>
    <t>ESR ripple</t>
  </si>
  <si>
    <t>Total V ripple</t>
  </si>
  <si>
    <t xml:space="preserve">
TCJA106M025R0150</t>
  </si>
  <si>
    <t>Size 1206</t>
  </si>
  <si>
    <t>SRU1038-6R2Y</t>
  </si>
  <si>
    <t>10.00mm x 10.00mm</t>
  </si>
  <si>
    <t>DCR 16.5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</si>
</sst>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A0083-A0F5-4433-8C4E-C9D80C4143CC}">
  <dimension ref="A2:O63"/>
  <sheetViews>
    <sheetView tabSelected="1" topLeftCell="A55" workbookViewId="0">
      <selection activeCell="H55" sqref="H55"/>
    </sheetView>
  </sheetViews>
  <sheetFormatPr defaultRowHeight="14.4" x14ac:dyDescent="0.3"/>
  <cols>
    <col min="1" max="1" width="22" bestFit="1" customWidth="1"/>
    <col min="2" max="2" width="12" bestFit="1" customWidth="1"/>
    <col min="9" max="9" width="10" bestFit="1" customWidth="1"/>
    <col min="11" max="11" width="10.5546875" bestFit="1" customWidth="1"/>
    <col min="12" max="12" width="11.88671875" bestFit="1" customWidth="1"/>
  </cols>
  <sheetData>
    <row r="2" spans="1:15" x14ac:dyDescent="0.3">
      <c r="A2" t="s">
        <v>33</v>
      </c>
      <c r="B2">
        <v>32</v>
      </c>
    </row>
    <row r="3" spans="1:15" x14ac:dyDescent="0.3">
      <c r="A3" t="s">
        <v>34</v>
      </c>
      <c r="B3">
        <v>12</v>
      </c>
    </row>
    <row r="4" spans="1:15" x14ac:dyDescent="0.3">
      <c r="A4" t="s">
        <v>32</v>
      </c>
      <c r="B4">
        <f>B3/B2</f>
        <v>0.375</v>
      </c>
    </row>
    <row r="5" spans="1:15" x14ac:dyDescent="0.3">
      <c r="A5" t="s">
        <v>19</v>
      </c>
      <c r="B5" s="2">
        <f>B4/B21</f>
        <v>3.7500000000000001E-7</v>
      </c>
      <c r="C5" t="s">
        <v>35</v>
      </c>
      <c r="G5" t="s">
        <v>36</v>
      </c>
    </row>
    <row r="6" spans="1:15" x14ac:dyDescent="0.3">
      <c r="A6" t="s">
        <v>44</v>
      </c>
      <c r="B6" s="2">
        <f>(29-6)*10^-9</f>
        <v>2.3000000000000001E-8</v>
      </c>
      <c r="G6" t="s">
        <v>37</v>
      </c>
      <c r="K6" s="1" t="s">
        <v>59</v>
      </c>
    </row>
    <row r="7" spans="1:15" x14ac:dyDescent="0.3">
      <c r="A7" t="s">
        <v>45</v>
      </c>
      <c r="B7" s="2">
        <f>B6+50*10^-9</f>
        <v>7.3000000000000005E-8</v>
      </c>
      <c r="C7" t="s">
        <v>38</v>
      </c>
    </row>
    <row r="9" spans="1:15" x14ac:dyDescent="0.3">
      <c r="A9" t="s">
        <v>18</v>
      </c>
      <c r="B9">
        <v>3</v>
      </c>
    </row>
    <row r="10" spans="1:15" x14ac:dyDescent="0.3">
      <c r="A10" t="s">
        <v>0</v>
      </c>
      <c r="B10">
        <v>1</v>
      </c>
      <c r="K10" t="s">
        <v>9</v>
      </c>
      <c r="L10" t="s">
        <v>13</v>
      </c>
      <c r="M10">
        <v>-8.9999999999999993E-3</v>
      </c>
      <c r="N10">
        <v>0</v>
      </c>
      <c r="O10">
        <v>8.9999999999999993E-3</v>
      </c>
    </row>
    <row r="11" spans="1:15" x14ac:dyDescent="0.3">
      <c r="A11" t="s">
        <v>1</v>
      </c>
      <c r="B11">
        <f>B10/2+B9</f>
        <v>3.5</v>
      </c>
      <c r="C11" t="s">
        <v>17</v>
      </c>
      <c r="K11" t="s">
        <v>10</v>
      </c>
      <c r="L11">
        <v>3.1999999999999999E-5</v>
      </c>
      <c r="M11">
        <f>(L11*$B$16-$M$10)/$B$12</f>
        <v>5.3000000000000007</v>
      </c>
      <c r="N11">
        <f>(L11*$B$16-$N$10)/$B$12</f>
        <v>4.4000000000000004</v>
      </c>
      <c r="O11">
        <f>(L11*$B$16-$O$10)/$B$12</f>
        <v>3.5000000000000004</v>
      </c>
    </row>
    <row r="12" spans="1:15" x14ac:dyDescent="0.3">
      <c r="A12" t="s">
        <v>4</v>
      </c>
      <c r="B12">
        <v>0.01</v>
      </c>
      <c r="K12" t="s">
        <v>11</v>
      </c>
      <c r="L12">
        <v>4.0000000000000003E-5</v>
      </c>
      <c r="M12">
        <f>(L12*$B$16-$M$10)/$B$12</f>
        <v>6.4000000000000012</v>
      </c>
      <c r="N12">
        <f>(L12*$B$16-$N$10)/$B$12</f>
        <v>5.5000000000000009</v>
      </c>
      <c r="O12">
        <f>(L12*$B$16-$O$10)/$B$12</f>
        <v>4.6000000000000014</v>
      </c>
    </row>
    <row r="13" spans="1:15" x14ac:dyDescent="0.3">
      <c r="A13" t="s">
        <v>3</v>
      </c>
      <c r="B13">
        <f>B12*B11</f>
        <v>3.5000000000000003E-2</v>
      </c>
      <c r="K13" t="s">
        <v>12</v>
      </c>
      <c r="L13">
        <v>4.8000000000000001E-5</v>
      </c>
      <c r="M13">
        <f>(L13*$B$16-$M$10)/$B$12</f>
        <v>7.5000000000000009</v>
      </c>
      <c r="N13">
        <f>(L13*$B$16-$N$10)/$B$12</f>
        <v>6.6000000000000014</v>
      </c>
      <c r="O13">
        <f>(L13*$B$16-$O$10)/$B$12</f>
        <v>5.7000000000000011</v>
      </c>
    </row>
    <row r="14" spans="1:15" x14ac:dyDescent="0.3">
      <c r="A14" t="s">
        <v>5</v>
      </c>
      <c r="B14">
        <f>B13+0.009</f>
        <v>4.4000000000000004E-2</v>
      </c>
      <c r="C14" s="1" t="s">
        <v>7</v>
      </c>
    </row>
    <row r="15" spans="1:15" x14ac:dyDescent="0.3">
      <c r="A15" t="s">
        <v>6</v>
      </c>
      <c r="B15">
        <f>B14/B12</f>
        <v>4.4000000000000004</v>
      </c>
    </row>
    <row r="16" spans="1:15" x14ac:dyDescent="0.3">
      <c r="A16" t="s">
        <v>2</v>
      </c>
      <c r="B16">
        <f>B15*B12/0.000032</f>
        <v>1375.0000000000002</v>
      </c>
      <c r="C16" t="s">
        <v>8</v>
      </c>
    </row>
    <row r="17" spans="1:9" x14ac:dyDescent="0.3">
      <c r="A17" t="s">
        <v>14</v>
      </c>
      <c r="B17">
        <v>1820</v>
      </c>
    </row>
    <row r="18" spans="1:9" x14ac:dyDescent="0.3">
      <c r="A18" t="s">
        <v>15</v>
      </c>
      <c r="B18">
        <f>(B17*0.000048+0.009)/0.01</f>
        <v>9.6359999999999992</v>
      </c>
    </row>
    <row r="19" spans="1:9" x14ac:dyDescent="0.3">
      <c r="A19" t="s">
        <v>16</v>
      </c>
      <c r="B19">
        <f>(B17*0.000032-0.009)/0.01</f>
        <v>4.9239999999999995</v>
      </c>
    </row>
    <row r="21" spans="1:9" x14ac:dyDescent="0.3">
      <c r="A21" t="s">
        <v>20</v>
      </c>
      <c r="B21">
        <v>1000000</v>
      </c>
    </row>
    <row r="22" spans="1:9" x14ac:dyDescent="0.3">
      <c r="A22" t="s">
        <v>19</v>
      </c>
      <c r="B22">
        <f>B5</f>
        <v>3.7500000000000001E-7</v>
      </c>
      <c r="C22" t="s">
        <v>35</v>
      </c>
    </row>
    <row r="23" spans="1:9" x14ac:dyDescent="0.3">
      <c r="A23" t="s">
        <v>22</v>
      </c>
      <c r="B23">
        <v>4</v>
      </c>
    </row>
    <row r="25" spans="1:9" x14ac:dyDescent="0.3">
      <c r="A25" t="s">
        <v>21</v>
      </c>
      <c r="B25">
        <f>B9*B22/B23</f>
        <v>2.8125000000000001E-7</v>
      </c>
    </row>
    <row r="26" spans="1:9" x14ac:dyDescent="0.3">
      <c r="A26" t="s">
        <v>23</v>
      </c>
      <c r="B26">
        <v>9.9999999999999995E-7</v>
      </c>
      <c r="C26" t="s">
        <v>24</v>
      </c>
      <c r="D26" t="s">
        <v>25</v>
      </c>
    </row>
    <row r="28" spans="1:9" x14ac:dyDescent="0.3">
      <c r="A28" t="s">
        <v>28</v>
      </c>
      <c r="B28">
        <v>0.45</v>
      </c>
      <c r="D28" t="s">
        <v>70</v>
      </c>
      <c r="F28" t="s">
        <v>69</v>
      </c>
      <c r="G28" t="s">
        <v>71</v>
      </c>
      <c r="I28" t="s">
        <v>72</v>
      </c>
    </row>
    <row r="29" spans="1:9" x14ac:dyDescent="0.3">
      <c r="A29" t="s">
        <v>26</v>
      </c>
      <c r="B29">
        <f>B28*B51*(1-B4)</f>
        <v>1.0357910747727415</v>
      </c>
      <c r="C29" t="s">
        <v>27</v>
      </c>
    </row>
    <row r="31" spans="1:9" x14ac:dyDescent="0.3">
      <c r="A31" t="s">
        <v>29</v>
      </c>
      <c r="B31" t="s">
        <v>24</v>
      </c>
      <c r="C31" t="s">
        <v>30</v>
      </c>
    </row>
    <row r="33" spans="1:9" x14ac:dyDescent="0.3">
      <c r="A33" t="s">
        <v>31</v>
      </c>
      <c r="B33" s="2">
        <f>(12.2*(32-1.56)/(0.000000145*32*B21))-(B7*(32-1.56)/0.000000145)-1.4</f>
        <v>63.311241379310353</v>
      </c>
      <c r="D33" t="s">
        <v>39</v>
      </c>
      <c r="G33" t="s">
        <v>60</v>
      </c>
    </row>
    <row r="34" spans="1:9" x14ac:dyDescent="0.3">
      <c r="A34" t="s">
        <v>61</v>
      </c>
      <c r="B34" s="2">
        <v>63.4</v>
      </c>
      <c r="C34" t="s">
        <v>62</v>
      </c>
      <c r="D34" t="s">
        <v>64</v>
      </c>
    </row>
    <row r="35" spans="1:9" x14ac:dyDescent="0.3">
      <c r="A35" t="s">
        <v>63</v>
      </c>
      <c r="B35" s="2">
        <f>12*(32-1.56+B34/3167)/(32*(0.000000145*(B34+1.4)+(B7*(32-1.56+B34/3167))))</f>
        <v>983039.46829055995</v>
      </c>
      <c r="D35" t="s">
        <v>65</v>
      </c>
    </row>
    <row r="36" spans="1:9" x14ac:dyDescent="0.3">
      <c r="B36" s="2"/>
    </row>
    <row r="37" spans="1:9" x14ac:dyDescent="0.3">
      <c r="B37" s="2"/>
    </row>
    <row r="38" spans="1:9" x14ac:dyDescent="0.3">
      <c r="C38" s="1" t="s">
        <v>43</v>
      </c>
      <c r="I38" t="s">
        <v>42</v>
      </c>
    </row>
    <row r="39" spans="1:9" x14ac:dyDescent="0.3">
      <c r="A39" t="s">
        <v>40</v>
      </c>
      <c r="B39" s="2">
        <f>(0.000000145*(B34+1.4)/(42-1.56+B34/3167))+0.00000005</f>
        <v>2.8222925359194013E-7</v>
      </c>
      <c r="C39" s="2">
        <f>B39+B6</f>
        <v>3.0522925359194011E-7</v>
      </c>
      <c r="D39" t="s">
        <v>46</v>
      </c>
      <c r="H39" t="s">
        <v>20</v>
      </c>
      <c r="I39" s="2">
        <f>$B$4/C39</f>
        <v>1228584.7296318987</v>
      </c>
    </row>
    <row r="40" spans="1:9" x14ac:dyDescent="0.3">
      <c r="A40" t="s">
        <v>41</v>
      </c>
      <c r="B40" s="2">
        <f>(0.000000145*(B34+1.4)/(20-1.56+B34/3167))+0.00000005</f>
        <v>5.5899189365970334E-7</v>
      </c>
      <c r="C40" s="2">
        <f>B40+B6</f>
        <v>5.8199189365970338E-7</v>
      </c>
      <c r="D40" t="s">
        <v>47</v>
      </c>
      <c r="H40" t="s">
        <v>20</v>
      </c>
      <c r="I40" s="2">
        <f>$B$4/C40</f>
        <v>644338.87152948277</v>
      </c>
    </row>
    <row r="42" spans="1:9" x14ac:dyDescent="0.3">
      <c r="A42" t="s">
        <v>48</v>
      </c>
    </row>
    <row r="44" spans="1:9" x14ac:dyDescent="0.3">
      <c r="A44" t="s">
        <v>49</v>
      </c>
      <c r="B44">
        <v>0.7</v>
      </c>
    </row>
    <row r="45" spans="1:9" x14ac:dyDescent="0.3">
      <c r="A45" t="s">
        <v>50</v>
      </c>
      <c r="B45">
        <f>2*B44</f>
        <v>1.4</v>
      </c>
      <c r="C45" t="s">
        <v>51</v>
      </c>
      <c r="E45" t="s">
        <v>52</v>
      </c>
    </row>
    <row r="47" spans="1:9" x14ac:dyDescent="0.3">
      <c r="A47" t="s">
        <v>53</v>
      </c>
      <c r="B47" s="2">
        <f>B39*(42-12)/B45</f>
        <v>6.0477697198272885E-6</v>
      </c>
      <c r="D47" t="s">
        <v>66</v>
      </c>
    </row>
    <row r="48" spans="1:9" x14ac:dyDescent="0.3">
      <c r="A48" t="s">
        <v>54</v>
      </c>
      <c r="B48">
        <v>6.1999999999999999E-6</v>
      </c>
      <c r="D48" t="s">
        <v>81</v>
      </c>
      <c r="F48" t="s">
        <v>82</v>
      </c>
      <c r="I48" t="s">
        <v>83</v>
      </c>
    </row>
    <row r="50" spans="1:11" x14ac:dyDescent="0.3">
      <c r="A50" t="s">
        <v>55</v>
      </c>
      <c r="B50" s="2">
        <f>B39*(42-12)/B48</f>
        <v>1.365625420606162</v>
      </c>
    </row>
    <row r="51" spans="1:11" x14ac:dyDescent="0.3">
      <c r="A51" t="s">
        <v>56</v>
      </c>
      <c r="B51" s="2">
        <f>B50/2+B9</f>
        <v>3.682812710303081</v>
      </c>
    </row>
    <row r="53" spans="1:11" x14ac:dyDescent="0.3">
      <c r="A53" t="s">
        <v>58</v>
      </c>
      <c r="B53">
        <v>0.2</v>
      </c>
    </row>
    <row r="54" spans="1:11" x14ac:dyDescent="0.3">
      <c r="A54" t="s">
        <v>57</v>
      </c>
      <c r="B54" s="2">
        <f>B50/(B53*B35*8)</f>
        <v>8.682417292594145E-7</v>
      </c>
      <c r="D54" t="s">
        <v>75</v>
      </c>
    </row>
    <row r="55" spans="1:11" ht="57.6" x14ac:dyDescent="0.3">
      <c r="A55" t="s">
        <v>67</v>
      </c>
      <c r="B55">
        <v>10</v>
      </c>
      <c r="F55">
        <f>1/8</f>
        <v>0.125</v>
      </c>
      <c r="H55" s="3" t="s">
        <v>79</v>
      </c>
      <c r="K55" t="s">
        <v>80</v>
      </c>
    </row>
    <row r="57" spans="1:11" x14ac:dyDescent="0.3">
      <c r="A57" t="s">
        <v>68</v>
      </c>
      <c r="B57" s="2">
        <f>B50/((B55*10^-6)*B35*8)</f>
        <v>1.7364834585188293E-2</v>
      </c>
      <c r="D57" t="s">
        <v>73</v>
      </c>
    </row>
    <row r="58" spans="1:11" x14ac:dyDescent="0.3">
      <c r="A58" t="s">
        <v>76</v>
      </c>
      <c r="B58">
        <v>0.15</v>
      </c>
    </row>
    <row r="59" spans="1:11" x14ac:dyDescent="0.3">
      <c r="A59" t="s">
        <v>77</v>
      </c>
      <c r="B59" s="2">
        <f>B58*B50</f>
        <v>0.20484381309092428</v>
      </c>
    </row>
    <row r="61" spans="1:11" x14ac:dyDescent="0.3">
      <c r="A61" t="s">
        <v>78</v>
      </c>
      <c r="B61">
        <f>B59+B57</f>
        <v>0.22220864767611256</v>
      </c>
    </row>
    <row r="63" spans="1:11" x14ac:dyDescent="0.3">
      <c r="A63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D. Cortes R.</dc:creator>
  <cp:lastModifiedBy>Christian D. Cortes R.</cp:lastModifiedBy>
  <dcterms:created xsi:type="dcterms:W3CDTF">2025-08-23T22:36:29Z</dcterms:created>
  <dcterms:modified xsi:type="dcterms:W3CDTF">2025-08-28T12:34:30Z</dcterms:modified>
</cp:coreProperties>
</file>