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ssvideoltd-my.sharepoint.com/personal/christian_rivera_rossvideo_com/Documents/Documents/PowerSupplyDC_DC/"/>
    </mc:Choice>
  </mc:AlternateContent>
  <xr:revisionPtr revIDLastSave="71" documentId="13_ncr:1_{83DC977C-BEB6-444E-89F6-77039E0A6EFF}" xr6:coauthVersionLast="47" xr6:coauthVersionMax="47" xr10:uidLastSave="{F745B4A1-A52C-4E42-8B85-86B2BC1213AB}"/>
  <bookViews>
    <workbookView xWindow="28680" yWindow="0" windowWidth="29040" windowHeight="15840" xr2:uid="{A751BA2A-60A2-4693-BBB0-E416EF9A5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74" i="1"/>
  <c r="B73" i="1"/>
  <c r="B72" i="1"/>
  <c r="B70" i="1"/>
  <c r="B71" i="1"/>
  <c r="B20" i="1"/>
  <c r="B43" i="1"/>
  <c r="B42" i="1"/>
  <c r="O12" i="1"/>
  <c r="O13" i="1"/>
  <c r="B21" i="1" s="1"/>
  <c r="O11" i="1"/>
  <c r="N12" i="1"/>
  <c r="N13" i="1"/>
  <c r="N11" i="1"/>
  <c r="M12" i="1"/>
  <c r="M13" i="1"/>
  <c r="M11" i="1"/>
  <c r="B53" i="1"/>
  <c r="B62" i="1" s="1"/>
  <c r="B6" i="1"/>
  <c r="B7" i="1" s="1"/>
  <c r="B36" i="1" s="1"/>
  <c r="F58" i="1"/>
  <c r="B48" i="1"/>
  <c r="B4" i="1"/>
  <c r="B5" i="1" s="1"/>
  <c r="B25" i="1" s="1"/>
  <c r="B28" i="1" s="1"/>
  <c r="B19" i="1"/>
  <c r="B18" i="1"/>
  <c r="B11" i="1"/>
  <c r="B13" i="1" s="1"/>
  <c r="B14" i="1" s="1"/>
  <c r="B15" i="1" l="1"/>
  <c r="B16" i="1" s="1"/>
  <c r="B38" i="1"/>
  <c r="B60" i="1" s="1"/>
  <c r="B64" i="1" s="1"/>
  <c r="B50" i="1"/>
  <c r="B54" i="1"/>
  <c r="B32" i="1" s="1"/>
  <c r="B57" i="1" l="1"/>
  <c r="C42" i="1"/>
  <c r="I42" i="1" s="1"/>
  <c r="C43" i="1" l="1"/>
  <c r="I43" i="1" s="1"/>
</calcChain>
</file>

<file path=xl/sharedStrings.xml><?xml version="1.0" encoding="utf-8"?>
<sst xmlns="http://schemas.openxmlformats.org/spreadsheetml/2006/main" count="101" uniqueCount="96">
  <si>
    <t>Ripple current</t>
  </si>
  <si>
    <t>Icl (min)</t>
  </si>
  <si>
    <t>Radj</t>
  </si>
  <si>
    <t>Rsense Volt</t>
  </si>
  <si>
    <t>Rsense</t>
  </si>
  <si>
    <t>+ 9 mV max comp offset</t>
  </si>
  <si>
    <t>Worst case scenario Radj using lowest sink current 32uA</t>
  </si>
  <si>
    <t>Sink current</t>
  </si>
  <si>
    <t>Min</t>
  </si>
  <si>
    <t>Nominal</t>
  </si>
  <si>
    <t>Max</t>
  </si>
  <si>
    <t>Offset voltage</t>
  </si>
  <si>
    <t>Next avail res</t>
  </si>
  <si>
    <t>I cl max</t>
  </si>
  <si>
    <t>I cl min</t>
  </si>
  <si>
    <t>Max current + half ripple</t>
  </si>
  <si>
    <t>Load maxcurrent</t>
  </si>
  <si>
    <t>Ton</t>
  </si>
  <si>
    <t>Freq</t>
  </si>
  <si>
    <t>Cin</t>
  </si>
  <si>
    <t>Vin Ripple</t>
  </si>
  <si>
    <t>Cin Commercial</t>
  </si>
  <si>
    <t>1uF</t>
  </si>
  <si>
    <t>A higher value cap allowes for smaller Vin Ripple</t>
  </si>
  <si>
    <t>D1 power</t>
  </si>
  <si>
    <t>Must stand max Vin</t>
  </si>
  <si>
    <t>Vf diode</t>
  </si>
  <si>
    <t>Cvcc</t>
  </si>
  <si>
    <t>0.47uF ceremic low ESR recommended</t>
  </si>
  <si>
    <t>Rt</t>
  </si>
  <si>
    <t>Duty cycle</t>
  </si>
  <si>
    <t>Vin</t>
  </si>
  <si>
    <t>Vout</t>
  </si>
  <si>
    <t>Should not be less than 150ns</t>
  </si>
  <si>
    <t>Calculated 375ns</t>
  </si>
  <si>
    <t>67 ns for Vishay SQ3419AEEV</t>
  </si>
  <si>
    <t>off-on delay in mosfet +50ns</t>
  </si>
  <si>
    <t>Calc value= 63k2 Ohms</t>
  </si>
  <si>
    <t>Ton(min) @Vin max=42V</t>
  </si>
  <si>
    <t>Ton(max) @Vin min=20V</t>
  </si>
  <si>
    <t>SW of 1 Mhz just achieved at Vin=32V</t>
  </si>
  <si>
    <t>+Delay</t>
  </si>
  <si>
    <t>Td mosf</t>
  </si>
  <si>
    <t>Td mosf + IC</t>
  </si>
  <si>
    <t>299 ns higher than 150ns recommended</t>
  </si>
  <si>
    <t>575 ns</t>
  </si>
  <si>
    <t>Inductor value choosed so continous mode is obtained</t>
  </si>
  <si>
    <t>Min Load current</t>
  </si>
  <si>
    <t>Max ripple current</t>
  </si>
  <si>
    <t>2 times min curr.</t>
  </si>
  <si>
    <t>min current with neg half ripple current = 0 Amps</t>
  </si>
  <si>
    <t>L1</t>
  </si>
  <si>
    <t>Comercial L1</t>
  </si>
  <si>
    <t>Max ripple @L1 selected</t>
  </si>
  <si>
    <t>Max load current</t>
  </si>
  <si>
    <t>Cout</t>
  </si>
  <si>
    <t>Vout ripple</t>
  </si>
  <si>
    <t>29-6</t>
  </si>
  <si>
    <t>Rt value in kOmhs</t>
  </si>
  <si>
    <t>Comercial RT</t>
  </si>
  <si>
    <t>E48</t>
  </si>
  <si>
    <t>Resulting Fsw</t>
  </si>
  <si>
    <t>Value in Kohms</t>
  </si>
  <si>
    <t>0.983 Mhz</t>
  </si>
  <si>
    <t>6 uH</t>
  </si>
  <si>
    <t>Comercial Cout</t>
  </si>
  <si>
    <t>Resulting Vout ripple</t>
  </si>
  <si>
    <t>STPS5L60</t>
  </si>
  <si>
    <t>0.43 @25C</t>
  </si>
  <si>
    <t>5.4 x 3.625 mm</t>
  </si>
  <si>
    <t>Max power 144W</t>
  </si>
  <si>
    <t>Following datasheet formula</t>
  </si>
  <si>
    <t>Vripple = Capacitive ripple + ESR ripple = Imax*D/(f*C) + Iripple *ESR</t>
  </si>
  <si>
    <t xml:space="preserve">0.86uF, fromula dividing by 8 as they  assume over half period half max ripple current and multiplied by 1/2 to obtain the area or the charge change </t>
  </si>
  <si>
    <t>ESR</t>
  </si>
  <si>
    <t>ESR ripple</t>
  </si>
  <si>
    <t>Total V ripple</t>
  </si>
  <si>
    <t>Size 1206</t>
  </si>
  <si>
    <t>SRU1038-6R2Y</t>
  </si>
  <si>
    <t>10.00mm x 10.00mm</t>
  </si>
  <si>
    <t>DCR 16.5 mOhm</t>
  </si>
  <si>
    <t>TCJA106M025R0150</t>
  </si>
  <si>
    <t>min tripping voltage</t>
  </si>
  <si>
    <t>Current at min trip voltage</t>
  </si>
  <si>
    <t>Minimum voltage drop required to achieve Load max curr.</t>
  </si>
  <si>
    <t>next higher avail value</t>
  </si>
  <si>
    <t>Max power Radj</t>
  </si>
  <si>
    <t>Max power Rsense</t>
  </si>
  <si>
    <t>Power RFB1</t>
  </si>
  <si>
    <t>Power RFB2</t>
  </si>
  <si>
    <t>Power Q1</t>
  </si>
  <si>
    <t>8.4 nC</t>
  </si>
  <si>
    <t>SQ3419AEEV total gate charge</t>
  </si>
  <si>
    <t>+1.3mA from figure 2 datasheet</t>
  </si>
  <si>
    <t>Temp rise power PAD</t>
  </si>
  <si>
    <t>Temp rise No Power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</si>
</sst>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0083-A0F5-4433-8C4E-C9D80C4143CC}">
  <dimension ref="A2:O75"/>
  <sheetViews>
    <sheetView tabSelected="1" topLeftCell="A43" workbookViewId="0">
      <selection activeCell="R52" sqref="R52"/>
    </sheetView>
  </sheetViews>
  <sheetFormatPr defaultRowHeight="15" x14ac:dyDescent="0.25"/>
  <cols>
    <col min="1" max="1" width="30.7109375" customWidth="1"/>
    <col min="2" max="2" width="12" bestFit="1" customWidth="1"/>
    <col min="8" max="8" width="8.7109375" bestFit="1" customWidth="1"/>
    <col min="9" max="9" width="10" bestFit="1" customWidth="1"/>
    <col min="11" max="11" width="13.28515625" customWidth="1"/>
    <col min="12" max="12" width="12.85546875" bestFit="1" customWidth="1"/>
  </cols>
  <sheetData>
    <row r="2" spans="1:15" x14ac:dyDescent="0.25">
      <c r="A2" t="s">
        <v>31</v>
      </c>
      <c r="B2">
        <v>32</v>
      </c>
    </row>
    <row r="3" spans="1:15" x14ac:dyDescent="0.25">
      <c r="A3" t="s">
        <v>32</v>
      </c>
      <c r="B3">
        <v>12</v>
      </c>
    </row>
    <row r="4" spans="1:15" x14ac:dyDescent="0.25">
      <c r="A4" t="s">
        <v>30</v>
      </c>
      <c r="B4">
        <f>B3/B2</f>
        <v>0.375</v>
      </c>
    </row>
    <row r="5" spans="1:15" x14ac:dyDescent="0.25">
      <c r="A5" t="s">
        <v>17</v>
      </c>
      <c r="B5" s="2">
        <f>B4/B24</f>
        <v>3.7500000000000001E-7</v>
      </c>
      <c r="C5" t="s">
        <v>33</v>
      </c>
      <c r="G5" t="s">
        <v>34</v>
      </c>
    </row>
    <row r="6" spans="1:15" x14ac:dyDescent="0.25">
      <c r="A6" t="s">
        <v>42</v>
      </c>
      <c r="B6" s="2">
        <f>(29-6)*10^-9</f>
        <v>2.3000000000000001E-8</v>
      </c>
      <c r="G6" t="s">
        <v>35</v>
      </c>
      <c r="K6" s="1" t="s">
        <v>57</v>
      </c>
    </row>
    <row r="7" spans="1:15" x14ac:dyDescent="0.25">
      <c r="A7" t="s">
        <v>43</v>
      </c>
      <c r="B7" s="2">
        <f>B6+50*10^-9</f>
        <v>7.3000000000000005E-8</v>
      </c>
      <c r="C7" t="s">
        <v>36</v>
      </c>
    </row>
    <row r="9" spans="1:15" x14ac:dyDescent="0.25">
      <c r="A9" t="s">
        <v>16</v>
      </c>
      <c r="B9">
        <v>3</v>
      </c>
    </row>
    <row r="10" spans="1:15" x14ac:dyDescent="0.25">
      <c r="A10" t="s">
        <v>0</v>
      </c>
      <c r="B10">
        <v>1</v>
      </c>
      <c r="K10" t="s">
        <v>7</v>
      </c>
      <c r="L10" t="s">
        <v>11</v>
      </c>
      <c r="M10">
        <v>-8.9999999999999993E-3</v>
      </c>
      <c r="N10">
        <v>0</v>
      </c>
      <c r="O10">
        <v>8.9999999999999993E-3</v>
      </c>
    </row>
    <row r="11" spans="1:15" x14ac:dyDescent="0.25">
      <c r="A11" t="s">
        <v>1</v>
      </c>
      <c r="B11">
        <f>B10/2+B9</f>
        <v>3.5</v>
      </c>
      <c r="C11" t="s">
        <v>15</v>
      </c>
      <c r="K11" t="s">
        <v>8</v>
      </c>
      <c r="L11">
        <v>3.1999999999999999E-5</v>
      </c>
      <c r="M11">
        <f>(L11*$B$17+$M$10)/$B$12</f>
        <v>3.5799999999999996</v>
      </c>
      <c r="N11">
        <f>(L11*$B$17+$N$10)/$B$12</f>
        <v>4.4799999999999995</v>
      </c>
      <c r="O11">
        <f>(L11*$B$17+$O$10)/$B$12</f>
        <v>5.38</v>
      </c>
    </row>
    <row r="12" spans="1:15" x14ac:dyDescent="0.25">
      <c r="A12" t="s">
        <v>4</v>
      </c>
      <c r="B12">
        <v>0.01</v>
      </c>
      <c r="K12" t="s">
        <v>9</v>
      </c>
      <c r="L12">
        <v>4.0000000000000003E-5</v>
      </c>
      <c r="M12">
        <f t="shared" ref="M12:M13" si="0">(L12*$B$17+$M$10)/$B$12</f>
        <v>4.7</v>
      </c>
      <c r="N12">
        <f t="shared" ref="N12:N13" si="1">(L12*$B$17+$N$10)/$B$12</f>
        <v>5.6</v>
      </c>
      <c r="O12">
        <f t="shared" ref="O12:O13" si="2">(L12*$B$17+$O$10)/$B$12</f>
        <v>6.5</v>
      </c>
    </row>
    <row r="13" spans="1:15" x14ac:dyDescent="0.25">
      <c r="A13" t="s">
        <v>3</v>
      </c>
      <c r="B13">
        <f>B12*B11</f>
        <v>3.5000000000000003E-2</v>
      </c>
      <c r="D13" t="s">
        <v>84</v>
      </c>
      <c r="K13" t="s">
        <v>10</v>
      </c>
      <c r="L13">
        <v>4.8000000000000001E-5</v>
      </c>
      <c r="M13">
        <f t="shared" si="0"/>
        <v>5.8199999999999994</v>
      </c>
      <c r="N13">
        <f t="shared" si="1"/>
        <v>6.72</v>
      </c>
      <c r="O13">
        <f t="shared" si="2"/>
        <v>7.6199999999999992</v>
      </c>
    </row>
    <row r="14" spans="1:15" x14ac:dyDescent="0.25">
      <c r="A14" t="s">
        <v>82</v>
      </c>
      <c r="B14">
        <f>B13+0.009</f>
        <v>4.4000000000000004E-2</v>
      </c>
      <c r="C14" s="1" t="s">
        <v>5</v>
      </c>
    </row>
    <row r="15" spans="1:15" x14ac:dyDescent="0.25">
      <c r="A15" t="s">
        <v>83</v>
      </c>
      <c r="B15">
        <f>B14/B12</f>
        <v>4.4000000000000004</v>
      </c>
    </row>
    <row r="16" spans="1:15" x14ac:dyDescent="0.25">
      <c r="A16" t="s">
        <v>2</v>
      </c>
      <c r="B16">
        <f>B15*B12/0.000032</f>
        <v>1375.0000000000002</v>
      </c>
      <c r="C16" t="s">
        <v>6</v>
      </c>
    </row>
    <row r="17" spans="1:9" x14ac:dyDescent="0.25">
      <c r="A17" t="s">
        <v>12</v>
      </c>
      <c r="B17">
        <v>1400</v>
      </c>
      <c r="D17" t="s">
        <v>85</v>
      </c>
    </row>
    <row r="18" spans="1:9" x14ac:dyDescent="0.25">
      <c r="A18" t="s">
        <v>13</v>
      </c>
      <c r="B18">
        <f>(B17*0.000048+0.009)/0.01</f>
        <v>7.6199999999999992</v>
      </c>
    </row>
    <row r="19" spans="1:9" x14ac:dyDescent="0.25">
      <c r="A19" t="s">
        <v>14</v>
      </c>
      <c r="B19">
        <f>(B17*0.000032-0.009)/0.01</f>
        <v>3.5799999999999996</v>
      </c>
    </row>
    <row r="20" spans="1:9" x14ac:dyDescent="0.25">
      <c r="A20" t="s">
        <v>86</v>
      </c>
      <c r="B20">
        <f>L13*O13/B12</f>
        <v>3.6575999999999997E-2</v>
      </c>
    </row>
    <row r="21" spans="1:9" x14ac:dyDescent="0.25">
      <c r="A21" t="s">
        <v>87</v>
      </c>
      <c r="B21">
        <f>B12*O13^2</f>
        <v>0.58064399999999983</v>
      </c>
    </row>
    <row r="24" spans="1:9" x14ac:dyDescent="0.25">
      <c r="A24" t="s">
        <v>18</v>
      </c>
      <c r="B24">
        <v>1000000</v>
      </c>
    </row>
    <row r="25" spans="1:9" x14ac:dyDescent="0.25">
      <c r="A25" t="s">
        <v>17</v>
      </c>
      <c r="B25">
        <f>B5</f>
        <v>3.7500000000000001E-7</v>
      </c>
      <c r="C25" t="s">
        <v>33</v>
      </c>
    </row>
    <row r="26" spans="1:9" x14ac:dyDescent="0.25">
      <c r="A26" t="s">
        <v>20</v>
      </c>
      <c r="B26">
        <v>0.1</v>
      </c>
    </row>
    <row r="28" spans="1:9" x14ac:dyDescent="0.25">
      <c r="A28" t="s">
        <v>19</v>
      </c>
      <c r="B28">
        <f>B9*B25/B26</f>
        <v>1.1249999999999999E-5</v>
      </c>
    </row>
    <row r="29" spans="1:9" x14ac:dyDescent="0.25">
      <c r="A29" t="s">
        <v>21</v>
      </c>
      <c r="B29">
        <v>9.9999999999999995E-7</v>
      </c>
      <c r="C29" t="s">
        <v>22</v>
      </c>
      <c r="D29" t="s">
        <v>23</v>
      </c>
    </row>
    <row r="31" spans="1:9" x14ac:dyDescent="0.25">
      <c r="A31" t="s">
        <v>26</v>
      </c>
      <c r="B31">
        <v>0.45</v>
      </c>
      <c r="D31" t="s">
        <v>68</v>
      </c>
      <c r="F31" t="s">
        <v>67</v>
      </c>
      <c r="G31" t="s">
        <v>69</v>
      </c>
      <c r="I31" t="s">
        <v>70</v>
      </c>
    </row>
    <row r="32" spans="1:9" x14ac:dyDescent="0.25">
      <c r="A32" t="s">
        <v>24</v>
      </c>
      <c r="B32" s="2">
        <f>B31*B54*(1-B4)</f>
        <v>1.0357910747727415</v>
      </c>
      <c r="C32" t="s">
        <v>25</v>
      </c>
    </row>
    <row r="34" spans="1:9" x14ac:dyDescent="0.25">
      <c r="A34" t="s">
        <v>27</v>
      </c>
      <c r="B34" t="s">
        <v>22</v>
      </c>
      <c r="C34" t="s">
        <v>28</v>
      </c>
    </row>
    <row r="36" spans="1:9" x14ac:dyDescent="0.25">
      <c r="A36" t="s">
        <v>29</v>
      </c>
      <c r="B36" s="2">
        <f>(12.2*(32-1.56)/(0.000000145*32*B24))-(B7*(32-1.56)/0.000000145)-1.4</f>
        <v>63.311241379310353</v>
      </c>
      <c r="D36" t="s">
        <v>37</v>
      </c>
      <c r="G36" t="s">
        <v>58</v>
      </c>
    </row>
    <row r="37" spans="1:9" x14ac:dyDescent="0.25">
      <c r="A37" t="s">
        <v>59</v>
      </c>
      <c r="B37" s="4">
        <v>63.4</v>
      </c>
      <c r="C37" t="s">
        <v>60</v>
      </c>
      <c r="D37" t="s">
        <v>62</v>
      </c>
    </row>
    <row r="38" spans="1:9" x14ac:dyDescent="0.25">
      <c r="A38" t="s">
        <v>61</v>
      </c>
      <c r="B38" s="2">
        <f>12*(32-1.56+B37/3167)/(32*(0.000000145*(B37+1.4)+(B7*(32-1.56+B37/3167))))</f>
        <v>983039.46829055995</v>
      </c>
      <c r="D38" t="s">
        <v>63</v>
      </c>
    </row>
    <row r="39" spans="1:9" x14ac:dyDescent="0.25">
      <c r="B39" s="2"/>
    </row>
    <row r="40" spans="1:9" x14ac:dyDescent="0.25">
      <c r="B40" s="2"/>
    </row>
    <row r="41" spans="1:9" x14ac:dyDescent="0.25">
      <c r="C41" s="1" t="s">
        <v>41</v>
      </c>
      <c r="I41" t="s">
        <v>40</v>
      </c>
    </row>
    <row r="42" spans="1:9" x14ac:dyDescent="0.25">
      <c r="A42" t="s">
        <v>38</v>
      </c>
      <c r="B42" s="2">
        <f>(0.000000145*(B37+1.4)/(42-1.56+B37/3167))+0.00000005</f>
        <v>2.8222925359194013E-7</v>
      </c>
      <c r="C42" s="2">
        <f>B42+B6</f>
        <v>3.0522925359194011E-7</v>
      </c>
      <c r="D42" t="s">
        <v>44</v>
      </c>
      <c r="H42" t="s">
        <v>18</v>
      </c>
      <c r="I42" s="2">
        <f>$B$4/C42</f>
        <v>1228584.7296318987</v>
      </c>
    </row>
    <row r="43" spans="1:9" x14ac:dyDescent="0.25">
      <c r="A43" t="s">
        <v>39</v>
      </c>
      <c r="B43" s="2">
        <f>(0.000000145*(B37+1.4)/(20-1.56+B37/3167))+0.00000005</f>
        <v>5.5899189365970334E-7</v>
      </c>
      <c r="C43" s="2">
        <f>B43+B6</f>
        <v>5.8199189365970338E-7</v>
      </c>
      <c r="D43" t="s">
        <v>45</v>
      </c>
      <c r="H43" t="s">
        <v>18</v>
      </c>
      <c r="I43" s="2">
        <f>$B$4/C43</f>
        <v>644338.87152948277</v>
      </c>
    </row>
    <row r="45" spans="1:9" x14ac:dyDescent="0.25">
      <c r="A45" t="s">
        <v>46</v>
      </c>
    </row>
    <row r="47" spans="1:9" x14ac:dyDescent="0.25">
      <c r="A47" t="s">
        <v>47</v>
      </c>
      <c r="B47">
        <v>0.7</v>
      </c>
    </row>
    <row r="48" spans="1:9" x14ac:dyDescent="0.25">
      <c r="A48" t="s">
        <v>48</v>
      </c>
      <c r="B48">
        <f>2*B47</f>
        <v>1.4</v>
      </c>
      <c r="C48" t="s">
        <v>49</v>
      </c>
      <c r="E48" t="s">
        <v>50</v>
      </c>
    </row>
    <row r="50" spans="1:11" x14ac:dyDescent="0.25">
      <c r="A50" t="s">
        <v>51</v>
      </c>
      <c r="B50" s="2">
        <f>B42*(42-12)/B48</f>
        <v>6.0477697198272885E-6</v>
      </c>
      <c r="D50" t="s">
        <v>64</v>
      </c>
    </row>
    <row r="51" spans="1:11" x14ac:dyDescent="0.25">
      <c r="A51" t="s">
        <v>52</v>
      </c>
      <c r="B51">
        <v>6.1999999999999999E-6</v>
      </c>
      <c r="D51" t="s">
        <v>78</v>
      </c>
      <c r="F51" t="s">
        <v>79</v>
      </c>
      <c r="I51" t="s">
        <v>80</v>
      </c>
    </row>
    <row r="53" spans="1:11" x14ac:dyDescent="0.25">
      <c r="A53" t="s">
        <v>53</v>
      </c>
      <c r="B53" s="2">
        <f>B42*(42-12)/B51</f>
        <v>1.365625420606162</v>
      </c>
    </row>
    <row r="54" spans="1:11" x14ac:dyDescent="0.25">
      <c r="A54" t="s">
        <v>54</v>
      </c>
      <c r="B54" s="2">
        <f>B53/2+B9</f>
        <v>3.682812710303081</v>
      </c>
    </row>
    <row r="56" spans="1:11" x14ac:dyDescent="0.25">
      <c r="A56" t="s">
        <v>56</v>
      </c>
      <c r="B56">
        <v>0.2</v>
      </c>
    </row>
    <row r="57" spans="1:11" x14ac:dyDescent="0.25">
      <c r="A57" t="s">
        <v>55</v>
      </c>
      <c r="B57" s="2">
        <f>B53/(B56*B38*8)</f>
        <v>8.682417292594145E-7</v>
      </c>
      <c r="D57" t="s">
        <v>73</v>
      </c>
    </row>
    <row r="58" spans="1:11" ht="17.25" customHeight="1" x14ac:dyDescent="0.25">
      <c r="A58" t="s">
        <v>65</v>
      </c>
      <c r="B58">
        <v>10</v>
      </c>
      <c r="F58">
        <f>1/8</f>
        <v>0.125</v>
      </c>
      <c r="H58" s="3" t="s">
        <v>81</v>
      </c>
      <c r="K58" t="s">
        <v>77</v>
      </c>
    </row>
    <row r="60" spans="1:11" x14ac:dyDescent="0.25">
      <c r="A60" t="s">
        <v>66</v>
      </c>
      <c r="B60" s="2">
        <f>B53/((B58*10^-6)*B38*8)</f>
        <v>1.7364834585188293E-2</v>
      </c>
      <c r="D60" t="s">
        <v>71</v>
      </c>
    </row>
    <row r="61" spans="1:11" x14ac:dyDescent="0.25">
      <c r="A61" t="s">
        <v>74</v>
      </c>
      <c r="B61">
        <v>0.15</v>
      </c>
    </row>
    <row r="62" spans="1:11" x14ac:dyDescent="0.25">
      <c r="A62" t="s">
        <v>75</v>
      </c>
      <c r="B62" s="2">
        <f>B61*B53</f>
        <v>0.20484381309092428</v>
      </c>
    </row>
    <row r="64" spans="1:11" x14ac:dyDescent="0.25">
      <c r="A64" t="s">
        <v>76</v>
      </c>
      <c r="B64">
        <f>B62+B60</f>
        <v>0.22220864767611256</v>
      </c>
    </row>
    <row r="66" spans="1:4" x14ac:dyDescent="0.25">
      <c r="A66" t="s">
        <v>72</v>
      </c>
    </row>
    <row r="70" spans="1:4" x14ac:dyDescent="0.25">
      <c r="A70" t="s">
        <v>88</v>
      </c>
      <c r="B70">
        <f>((12-1.25)^2)/10000</f>
        <v>1.1556250000000001E-2</v>
      </c>
    </row>
    <row r="71" spans="1:4" x14ac:dyDescent="0.25">
      <c r="A71" t="s">
        <v>89</v>
      </c>
      <c r="B71">
        <f>(1.25^2)/1150</f>
        <v>1.358695652173913E-3</v>
      </c>
    </row>
    <row r="72" spans="1:4" x14ac:dyDescent="0.25">
      <c r="A72" t="s">
        <v>92</v>
      </c>
      <c r="B72">
        <f>8.4*10^-9</f>
        <v>8.4000000000000008E-9</v>
      </c>
      <c r="C72" t="s">
        <v>91</v>
      </c>
    </row>
    <row r="73" spans="1:4" x14ac:dyDescent="0.25">
      <c r="A73" t="s">
        <v>90</v>
      </c>
      <c r="B73">
        <f>32*(B72*B24+0.0013)</f>
        <v>0.31040000000000001</v>
      </c>
      <c r="D73" s="1" t="s">
        <v>93</v>
      </c>
    </row>
    <row r="74" spans="1:4" x14ac:dyDescent="0.25">
      <c r="A74" t="s">
        <v>94</v>
      </c>
      <c r="B74">
        <f>54*B73</f>
        <v>16.761600000000001</v>
      </c>
    </row>
    <row r="75" spans="1:4" x14ac:dyDescent="0.25">
      <c r="A75" t="s">
        <v>95</v>
      </c>
      <c r="B75">
        <f>153*B73</f>
        <v>47.491199999999999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D. Cortes R.</dc:creator>
  <cp:lastModifiedBy>Christian Cortes Rivera</cp:lastModifiedBy>
  <dcterms:created xsi:type="dcterms:W3CDTF">2025-08-23T22:36:29Z</dcterms:created>
  <dcterms:modified xsi:type="dcterms:W3CDTF">2025-08-28T20:53:28Z</dcterms:modified>
</cp:coreProperties>
</file>